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795" windowHeight="5490" activeTab="0"/>
  </bookViews>
  <sheets>
    <sheet name="PLAN ANUAL DE COMPRAS" sheetId="1" r:id="rId1"/>
    <sheet name="DATA" sheetId="2" r:id="rId2"/>
  </sheets>
  <definedNames/>
  <calcPr fullCalcOnLoad="1"/>
</workbook>
</file>

<file path=xl/comments1.xml><?xml version="1.0" encoding="utf-8"?>
<comments xmlns="http://schemas.openxmlformats.org/spreadsheetml/2006/main">
  <authors>
    <author>MAYRA VILLAGOMEZ</author>
    <author>INTEL</author>
  </authors>
  <commentList>
    <comment ref="E63" authorId="0">
      <text>
        <r>
          <rPr>
            <sz val="9"/>
            <rFont val="Tahoma"/>
            <family val="2"/>
          </rPr>
          <t xml:space="preserve">ESTA CATALOGADO COMO LAMINAS SEMIELABORADAS PARA PLACAS
</t>
        </r>
      </text>
    </comment>
    <comment ref="U9" authorId="0">
      <text>
        <r>
          <rPr>
            <sz val="9"/>
            <rFont val="Tahoma"/>
            <family val="2"/>
          </rPr>
          <t>18000 Galpón Pto Bolívar x 6 meses, 1585 canchón x 1 mes, 26400 Canchón El Cambio x 12 meses.</t>
        </r>
      </text>
    </comment>
    <comment ref="U24" authorId="0">
      <text>
        <r>
          <rPr>
            <sz val="9"/>
            <rFont val="Tahoma"/>
            <family val="2"/>
          </rPr>
          <t xml:space="preserve">CF 518,64 MANT 8 CAM
</t>
        </r>
      </text>
    </comment>
    <comment ref="H7" authorId="0">
      <text>
        <r>
          <rPr>
            <sz val="9"/>
            <rFont val="Tahoma"/>
            <family val="2"/>
          </rPr>
          <t xml:space="preserve">2da reforma disminuir
</t>
        </r>
      </text>
    </comment>
    <comment ref="H9" authorId="0">
      <text>
        <r>
          <rPr>
            <b/>
            <sz val="9"/>
            <rFont val="Tahoma"/>
            <family val="2"/>
          </rPr>
          <t xml:space="preserve">2da reforma aumentar 5000, cuatrimestre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2"/>
          </rPr>
          <t>2da reforma disminuir 80000</t>
        </r>
        <r>
          <rPr>
            <sz val="9"/>
            <rFont val="Tahoma"/>
            <family val="2"/>
          </rPr>
          <t xml:space="preserve">
</t>
        </r>
      </text>
    </comment>
    <comment ref="H15" authorId="1">
      <text>
        <r>
          <rPr>
            <sz val="9"/>
            <rFont val="Tahoma"/>
            <family val="2"/>
          </rPr>
          <t xml:space="preserve">2da reforma disminuir 6700, cuatrimestre, tipo de proceso, 3era reforma dism 6300
</t>
        </r>
      </text>
    </comment>
    <comment ref="H16" authorId="1">
      <text>
        <r>
          <rPr>
            <sz val="9"/>
            <rFont val="Tahoma"/>
            <family val="2"/>
          </rPr>
          <t>2da reforma dism 6300       3era reform aum 6300, cuatrimestre</t>
        </r>
      </text>
    </comment>
    <comment ref="H18" authorId="1">
      <text>
        <r>
          <rPr>
            <sz val="9"/>
            <rFont val="Tahoma"/>
            <family val="2"/>
          </rPr>
          <t>2da reforma dism 10300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3era reforma aum 6300, cuatrimestre</t>
        </r>
      </text>
    </comment>
    <comment ref="H19" authorId="1">
      <text>
        <r>
          <rPr>
            <sz val="9"/>
            <rFont val="Tahoma"/>
            <family val="2"/>
          </rPr>
          <t xml:space="preserve">2da reforma dism 6200
</t>
        </r>
      </text>
    </comment>
    <comment ref="H20" authorId="1">
      <text>
        <r>
          <rPr>
            <sz val="9"/>
            <rFont val="Tahoma"/>
            <family val="2"/>
          </rPr>
          <t>2da reforma aum 15300
cuatrimestre</t>
        </r>
      </text>
    </comment>
    <comment ref="H21" authorId="1">
      <text>
        <r>
          <rPr>
            <sz val="9"/>
            <rFont val="Tahoma"/>
            <family val="2"/>
          </rPr>
          <t xml:space="preserve">2da reforma dism 6300
</t>
        </r>
      </text>
    </comment>
    <comment ref="H23" authorId="1">
      <text>
        <r>
          <rPr>
            <sz val="9"/>
            <rFont val="Tahoma"/>
            <family val="2"/>
          </rPr>
          <t>2da reforma dism 3200
3era reforma aum 2500, cuatrimestre</t>
        </r>
      </text>
    </comment>
    <comment ref="H24" authorId="1">
      <text>
        <r>
          <rPr>
            <sz val="9"/>
            <rFont val="Tahoma"/>
            <family val="2"/>
          </rPr>
          <t xml:space="preserve">2da reforma dism 2000, cuatrimestre
</t>
        </r>
      </text>
    </comment>
    <comment ref="H25" authorId="1">
      <text>
        <r>
          <rPr>
            <sz val="9"/>
            <rFont val="Tahoma"/>
            <family val="2"/>
          </rPr>
          <t xml:space="preserve">2da reforma dism 2000, cuatrimestre
</t>
        </r>
      </text>
    </comment>
    <comment ref="H26" authorId="1">
      <text>
        <r>
          <rPr>
            <sz val="9"/>
            <rFont val="Tahoma"/>
            <family val="2"/>
          </rPr>
          <t xml:space="preserve">2da reforma dism 39000, cuatrimestre
</t>
        </r>
      </text>
    </comment>
    <comment ref="H27" authorId="1">
      <text>
        <r>
          <rPr>
            <sz val="9"/>
            <rFont val="Tahoma"/>
            <family val="2"/>
          </rPr>
          <t xml:space="preserve">2da reforma aum 2500, cuatrimestre
</t>
        </r>
      </text>
    </comment>
    <comment ref="H28" authorId="1">
      <text>
        <r>
          <rPr>
            <sz val="9"/>
            <rFont val="Tahoma"/>
            <family val="2"/>
          </rPr>
          <t xml:space="preserve">2da reforma aum 1500, cuatrimestre
</t>
        </r>
      </text>
    </comment>
    <comment ref="H29" authorId="1">
      <text>
        <r>
          <rPr>
            <sz val="9"/>
            <rFont val="Tahoma"/>
            <family val="2"/>
          </rPr>
          <t xml:space="preserve">2da reforma dism 9000, cuatrimestre
</t>
        </r>
      </text>
    </comment>
    <comment ref="H30" authorId="1">
      <text>
        <r>
          <rPr>
            <sz val="9"/>
            <rFont val="Tahoma"/>
            <family val="2"/>
          </rPr>
          <t xml:space="preserve">2da reforma dism 45000, Cuatrimestre
</t>
        </r>
      </text>
    </comment>
    <comment ref="H31" authorId="1">
      <text>
        <r>
          <rPr>
            <b/>
            <sz val="9"/>
            <rFont val="Tahoma"/>
            <family val="2"/>
          </rPr>
          <t>2da reforma dism 6300</t>
        </r>
        <r>
          <rPr>
            <sz val="9"/>
            <rFont val="Tahoma"/>
            <family val="2"/>
          </rPr>
          <t xml:space="preserve">
</t>
        </r>
      </text>
    </comment>
    <comment ref="H32" authorId="1">
      <text>
        <r>
          <rPr>
            <sz val="9"/>
            <rFont val="Tahoma"/>
            <family val="2"/>
          </rPr>
          <t xml:space="preserve">2da reforma dism 3800, cuatrimestre
</t>
        </r>
      </text>
    </comment>
    <comment ref="H33" authorId="1">
      <text>
        <r>
          <rPr>
            <b/>
            <sz val="9"/>
            <rFont val="Tahoma"/>
            <family val="2"/>
          </rPr>
          <t>2da reforma dism 440</t>
        </r>
        <r>
          <rPr>
            <sz val="9"/>
            <rFont val="Tahoma"/>
            <family val="2"/>
          </rPr>
          <t xml:space="preserve">
</t>
        </r>
      </text>
    </comment>
    <comment ref="H35" authorId="1">
      <text>
        <r>
          <rPr>
            <sz val="9"/>
            <rFont val="Tahoma"/>
            <family val="2"/>
          </rPr>
          <t>2da reforma dism 23700
3era reforma dism 2500</t>
        </r>
      </text>
    </comment>
    <comment ref="H34" authorId="1">
      <text>
        <r>
          <rPr>
            <b/>
            <sz val="9"/>
            <rFont val="Tahoma"/>
            <family val="2"/>
          </rPr>
          <t>2da reforma / cuatrim</t>
        </r>
      </text>
    </comment>
    <comment ref="H38" authorId="1">
      <text>
        <r>
          <rPr>
            <b/>
            <sz val="9"/>
            <rFont val="Tahoma"/>
            <family val="2"/>
          </rPr>
          <t>2da reforma dism 35000</t>
        </r>
        <r>
          <rPr>
            <sz val="9"/>
            <rFont val="Tahoma"/>
            <family val="2"/>
          </rPr>
          <t xml:space="preserve">
</t>
        </r>
      </text>
    </comment>
    <comment ref="H37" authorId="1">
      <text>
        <r>
          <rPr>
            <b/>
            <sz val="9"/>
            <rFont val="Tahoma"/>
            <family val="2"/>
          </rPr>
          <t>2da reforma aum 6300</t>
        </r>
      </text>
    </comment>
    <comment ref="H44" authorId="1">
      <text>
        <r>
          <rPr>
            <sz val="9"/>
            <rFont val="Tahoma"/>
            <family val="2"/>
          </rPr>
          <t>2da reforma dism 3500
tipo de compra, descrip</t>
        </r>
      </text>
    </comment>
    <comment ref="H47" authorId="1">
      <text>
        <r>
          <rPr>
            <sz val="9"/>
            <rFont val="Tahoma"/>
            <family val="2"/>
          </rPr>
          <t xml:space="preserve">2da reforma cuatrimestre
</t>
        </r>
      </text>
    </comment>
    <comment ref="H48" authorId="1">
      <text>
        <r>
          <rPr>
            <b/>
            <sz val="9"/>
            <rFont val="Tahoma"/>
            <family val="2"/>
          </rPr>
          <t>2da reforma dism 1750</t>
        </r>
        <r>
          <rPr>
            <sz val="9"/>
            <rFont val="Tahoma"/>
            <family val="2"/>
          </rPr>
          <t xml:space="preserve">
</t>
        </r>
      </text>
    </comment>
    <comment ref="H49" authorId="1">
      <text>
        <r>
          <rPr>
            <sz val="9"/>
            <rFont val="Tahoma"/>
            <family val="2"/>
          </rPr>
          <t xml:space="preserve">2da reforma dism 600, cuatrimestre, descripción
</t>
        </r>
      </text>
    </comment>
    <comment ref="H50" authorId="1">
      <text>
        <r>
          <rPr>
            <sz val="9"/>
            <rFont val="Tahoma"/>
            <family val="2"/>
          </rPr>
          <t xml:space="preserve">2da reforma dism 1100, cuatrimestre
</t>
        </r>
      </text>
    </comment>
    <comment ref="H51" authorId="1">
      <text>
        <r>
          <rPr>
            <sz val="9"/>
            <rFont val="Tahoma"/>
            <family val="2"/>
          </rPr>
          <t xml:space="preserve">2da reforma dism 6700, tipo de proceso, CPC, cuatrimestre
</t>
        </r>
      </text>
    </comment>
    <comment ref="H53" authorId="1">
      <text>
        <r>
          <rPr>
            <sz val="9"/>
            <rFont val="Tahoma"/>
            <family val="2"/>
          </rPr>
          <t xml:space="preserve">2da reforma dism 6000
</t>
        </r>
      </text>
    </comment>
    <comment ref="H57" authorId="1">
      <text>
        <r>
          <rPr>
            <b/>
            <sz val="9"/>
            <rFont val="Tahoma"/>
            <family val="2"/>
          </rPr>
          <t>2da reforma dism 405</t>
        </r>
        <r>
          <rPr>
            <sz val="9"/>
            <rFont val="Tahoma"/>
            <family val="2"/>
          </rPr>
          <t xml:space="preserve">
</t>
        </r>
      </text>
    </comment>
    <comment ref="H58" authorId="1">
      <text>
        <r>
          <rPr>
            <sz val="9"/>
            <rFont val="Tahoma"/>
            <family val="2"/>
          </rPr>
          <t xml:space="preserve">2da reforma dism 1200
</t>
        </r>
      </text>
    </comment>
    <comment ref="H59" authorId="1">
      <text>
        <r>
          <rPr>
            <b/>
            <sz val="9"/>
            <rFont val="Tahoma"/>
            <family val="2"/>
          </rPr>
          <t>2da reforma aum 5, descrip</t>
        </r>
      </text>
    </comment>
    <comment ref="H41" authorId="1">
      <text>
        <r>
          <rPr>
            <b/>
            <sz val="9"/>
            <rFont val="Tahoma"/>
            <family val="2"/>
          </rPr>
          <t xml:space="preserve">2da reforma aum 500
</t>
        </r>
        <r>
          <rPr>
            <sz val="9"/>
            <rFont val="Tahoma"/>
            <family val="2"/>
          </rPr>
          <t xml:space="preserve">
</t>
        </r>
      </text>
    </comment>
    <comment ref="H42" authorId="1">
      <text>
        <r>
          <rPr>
            <b/>
            <sz val="9"/>
            <rFont val="Tahoma"/>
            <family val="2"/>
          </rPr>
          <t>2da reforma aum 500</t>
        </r>
        <r>
          <rPr>
            <sz val="9"/>
            <rFont val="Tahoma"/>
            <family val="2"/>
          </rPr>
          <t xml:space="preserve">
</t>
        </r>
      </text>
    </comment>
    <comment ref="H54" authorId="1">
      <text>
        <r>
          <rPr>
            <b/>
            <sz val="9"/>
            <rFont val="Tahoma"/>
            <family val="2"/>
          </rPr>
          <t xml:space="preserve">2da reforma aum 480 </t>
        </r>
        <r>
          <rPr>
            <sz val="9"/>
            <rFont val="Tahoma"/>
            <family val="2"/>
          </rPr>
          <t xml:space="preserve">
</t>
        </r>
      </text>
    </comment>
    <comment ref="H56" authorId="1">
      <text>
        <r>
          <rPr>
            <b/>
            <sz val="9"/>
            <rFont val="Tahoma"/>
            <family val="2"/>
          </rPr>
          <t>2da reforma dism 500</t>
        </r>
        <r>
          <rPr>
            <sz val="9"/>
            <rFont val="Tahoma"/>
            <family val="2"/>
          </rPr>
          <t xml:space="preserve">
</t>
        </r>
      </text>
    </comment>
    <comment ref="H55" authorId="1">
      <text>
        <r>
          <rPr>
            <sz val="9"/>
            <rFont val="Tahoma"/>
            <family val="2"/>
          </rPr>
          <t xml:space="preserve">2da reforma dism 800, cuatrimestre
</t>
        </r>
      </text>
    </comment>
    <comment ref="H40" authorId="1">
      <text>
        <r>
          <rPr>
            <b/>
            <sz val="9"/>
            <rFont val="Tahoma"/>
            <family val="2"/>
          </rPr>
          <t>2da reforma cuatrim</t>
        </r>
      </text>
    </comment>
    <comment ref="H43" authorId="0">
      <text>
        <r>
          <rPr>
            <sz val="9"/>
            <rFont val="Tahoma"/>
            <family val="2"/>
          </rPr>
          <t>2da reforma aum 3000</t>
        </r>
        <r>
          <rPr>
            <sz val="9"/>
            <rFont val="Tahoma"/>
            <family val="0"/>
          </rPr>
          <t xml:space="preserve">
</t>
        </r>
      </text>
    </comment>
    <comment ref="H52" authorId="0">
      <text>
        <r>
          <rPr>
            <b/>
            <sz val="9"/>
            <rFont val="Tahoma"/>
            <family val="2"/>
          </rPr>
          <t>2da reforma aum 4050</t>
        </r>
      </text>
    </comment>
    <comment ref="H45" authorId="0">
      <text>
        <r>
          <rPr>
            <sz val="9"/>
            <rFont val="Tahoma"/>
            <family val="2"/>
          </rPr>
          <t xml:space="preserve">2da reforma tipo de compra, descripción
</t>
        </r>
      </text>
    </comment>
    <comment ref="H46" authorId="0">
      <text>
        <r>
          <rPr>
            <sz val="9"/>
            <rFont val="Tahoma"/>
            <family val="2"/>
          </rPr>
          <t xml:space="preserve">2da reforma cuatrim
</t>
        </r>
      </text>
    </comment>
    <comment ref="H61" authorId="0">
      <text>
        <r>
          <rPr>
            <sz val="9"/>
            <rFont val="Tahoma"/>
            <family val="2"/>
          </rPr>
          <t xml:space="preserve">2da reforma dism 7075
</t>
        </r>
      </text>
    </comment>
    <comment ref="H62" authorId="0">
      <text>
        <r>
          <rPr>
            <b/>
            <sz val="9"/>
            <rFont val="Tahoma"/>
            <family val="2"/>
          </rPr>
          <t>2da reforma aum 15000 /cuatrimestre</t>
        </r>
      </text>
    </comment>
    <comment ref="H63" authorId="0">
      <text>
        <r>
          <rPr>
            <b/>
            <sz val="9"/>
            <rFont val="Tahoma"/>
            <family val="2"/>
          </rPr>
          <t>2da reforma dism 40000</t>
        </r>
        <r>
          <rPr>
            <sz val="9"/>
            <rFont val="Tahoma"/>
            <family val="2"/>
          </rPr>
          <t xml:space="preserve">
</t>
        </r>
      </text>
    </comment>
    <comment ref="H64" authorId="0">
      <text>
        <r>
          <rPr>
            <b/>
            <sz val="9"/>
            <rFont val="Tahoma"/>
            <family val="2"/>
          </rPr>
          <t>2da reforma aum 20000, cuatrimestre</t>
        </r>
        <r>
          <rPr>
            <sz val="9"/>
            <rFont val="Tahoma"/>
            <family val="2"/>
          </rPr>
          <t xml:space="preserve">
</t>
        </r>
      </text>
    </comment>
    <comment ref="U64" authorId="0">
      <text>
        <r>
          <rPr>
            <sz val="9"/>
            <rFont val="Tahoma"/>
            <family val="2"/>
          </rPr>
          <t xml:space="preserve">Cert futura proceso 2022
</t>
        </r>
      </text>
    </comment>
    <comment ref="H65" authorId="0">
      <text>
        <r>
          <rPr>
            <sz val="9"/>
            <rFont val="Tahoma"/>
            <family val="2"/>
          </rPr>
          <t xml:space="preserve">2da reforma dism 23000
</t>
        </r>
      </text>
    </comment>
    <comment ref="H66" authorId="0">
      <text>
        <r>
          <rPr>
            <b/>
            <sz val="9"/>
            <rFont val="Tahoma"/>
            <family val="2"/>
          </rPr>
          <t>2da reforma dism 200000</t>
        </r>
        <r>
          <rPr>
            <sz val="9"/>
            <rFont val="Tahoma"/>
            <family val="2"/>
          </rPr>
          <t xml:space="preserve">
</t>
        </r>
      </text>
    </comment>
    <comment ref="H67" authorId="0">
      <text>
        <r>
          <rPr>
            <sz val="9"/>
            <rFont val="Tahoma"/>
            <family val="2"/>
          </rPr>
          <t xml:space="preserve">2da reforma dism 60000
</t>
        </r>
      </text>
    </comment>
    <comment ref="H68" authorId="0">
      <text>
        <r>
          <rPr>
            <b/>
            <sz val="9"/>
            <rFont val="Tahoma"/>
            <family val="2"/>
          </rPr>
          <t>2da reforma dism 125000</t>
        </r>
        <r>
          <rPr>
            <sz val="9"/>
            <rFont val="Tahoma"/>
            <family val="2"/>
          </rPr>
          <t xml:space="preserve">
</t>
        </r>
      </text>
    </comment>
    <comment ref="H69" authorId="0">
      <text>
        <r>
          <rPr>
            <sz val="9"/>
            <rFont val="Tahoma"/>
            <family val="2"/>
          </rPr>
          <t xml:space="preserve">2da reforma dism 20000
</t>
        </r>
      </text>
    </comment>
    <comment ref="H70" authorId="0">
      <text>
        <r>
          <rPr>
            <sz val="9"/>
            <rFont val="Tahoma"/>
            <family val="2"/>
          </rPr>
          <t xml:space="preserve">2da reforma dism 6000
</t>
        </r>
      </text>
    </comment>
    <comment ref="H72" authorId="0">
      <text>
        <r>
          <rPr>
            <sz val="9"/>
            <rFont val="Tahoma"/>
            <family val="2"/>
          </rPr>
          <t xml:space="preserve">2da reforma dism 17000
</t>
        </r>
      </text>
    </comment>
    <comment ref="H73" authorId="0">
      <text>
        <r>
          <rPr>
            <b/>
            <sz val="9"/>
            <rFont val="Tahoma"/>
            <family val="2"/>
          </rPr>
          <t>2da reforma dism 75000</t>
        </r>
        <r>
          <rPr>
            <sz val="9"/>
            <rFont val="Tahoma"/>
            <family val="2"/>
          </rPr>
          <t xml:space="preserve">
</t>
        </r>
      </text>
    </comment>
    <comment ref="H74" authorId="0">
      <text>
        <r>
          <rPr>
            <b/>
            <sz val="9"/>
            <rFont val="Tahoma"/>
            <family val="2"/>
          </rPr>
          <t>2da reforma dism 9000</t>
        </r>
        <r>
          <rPr>
            <sz val="9"/>
            <rFont val="Tahoma"/>
            <family val="2"/>
          </rPr>
          <t xml:space="preserve">
</t>
        </r>
      </text>
    </comment>
    <comment ref="H76" authorId="0">
      <text>
        <r>
          <rPr>
            <b/>
            <sz val="9"/>
            <rFont val="Tahoma"/>
            <family val="2"/>
          </rPr>
          <t>2da reforma dism 100000, cuatrimestre</t>
        </r>
        <r>
          <rPr>
            <sz val="9"/>
            <rFont val="Tahoma"/>
            <family val="2"/>
          </rPr>
          <t xml:space="preserve">
</t>
        </r>
      </text>
    </comment>
    <comment ref="H78" authorId="0">
      <text>
        <r>
          <rPr>
            <b/>
            <sz val="9"/>
            <rFont val="Tahoma"/>
            <family val="2"/>
          </rPr>
          <t>2da reforma dism 600000</t>
        </r>
        <r>
          <rPr>
            <sz val="9"/>
            <rFont val="Tahoma"/>
            <family val="2"/>
          </rPr>
          <t xml:space="preserve">
</t>
        </r>
      </text>
    </comment>
    <comment ref="H77" authorId="0">
      <text>
        <r>
          <rPr>
            <b/>
            <sz val="9"/>
            <rFont val="Tahoma"/>
            <family val="2"/>
          </rPr>
          <t>2da reforma dism 14000</t>
        </r>
      </text>
    </comment>
    <comment ref="H80" authorId="0">
      <text>
        <r>
          <rPr>
            <b/>
            <sz val="9"/>
            <rFont val="Tahoma"/>
            <family val="2"/>
          </rPr>
          <t>2da reforma dism 6000</t>
        </r>
        <r>
          <rPr>
            <sz val="9"/>
            <rFont val="Tahoma"/>
            <family val="2"/>
          </rPr>
          <t xml:space="preserve">
</t>
        </r>
      </text>
    </comment>
    <comment ref="H79" authorId="0">
      <text>
        <r>
          <rPr>
            <b/>
            <sz val="9"/>
            <rFont val="Tahoma"/>
            <family val="2"/>
          </rPr>
          <t>2da reforma dism 15000, cuatrimestre, CPC</t>
        </r>
        <r>
          <rPr>
            <sz val="9"/>
            <rFont val="Tahoma"/>
            <family val="2"/>
          </rPr>
          <t xml:space="preserve">
</t>
        </r>
      </text>
    </comment>
    <comment ref="H71" authorId="0">
      <text>
        <r>
          <rPr>
            <b/>
            <sz val="9"/>
            <rFont val="Tahoma"/>
            <family val="2"/>
          </rPr>
          <t>2da reforma aum 20000</t>
        </r>
        <r>
          <rPr>
            <sz val="9"/>
            <rFont val="Tahoma"/>
            <family val="2"/>
          </rPr>
          <t xml:space="preserve">
</t>
        </r>
      </text>
    </comment>
    <comment ref="H82" authorId="0">
      <text>
        <r>
          <rPr>
            <b/>
            <sz val="9"/>
            <rFont val="Tahoma"/>
            <family val="2"/>
          </rPr>
          <t xml:space="preserve">2da reforma aum 3000
</t>
        </r>
        <r>
          <rPr>
            <sz val="9"/>
            <rFont val="Tahoma"/>
            <family val="2"/>
          </rPr>
          <t xml:space="preserve">
</t>
        </r>
      </text>
    </comment>
    <comment ref="H83" authorId="0">
      <text>
        <r>
          <rPr>
            <sz val="9"/>
            <rFont val="Tahoma"/>
            <family val="2"/>
          </rPr>
          <t xml:space="preserve">2da reforma dism 19000, cuatrimestre, tipo de proceso
</t>
        </r>
      </text>
    </comment>
    <comment ref="H84" authorId="0">
      <text>
        <r>
          <rPr>
            <b/>
            <sz val="9"/>
            <rFont val="Tahoma"/>
            <family val="2"/>
          </rPr>
          <t>2da reforma dism 400</t>
        </r>
        <r>
          <rPr>
            <sz val="9"/>
            <rFont val="Tahoma"/>
            <family val="2"/>
          </rPr>
          <t xml:space="preserve">
</t>
        </r>
      </text>
    </comment>
    <comment ref="H86" authorId="0">
      <text>
        <r>
          <rPr>
            <sz val="9"/>
            <rFont val="Tahoma"/>
            <family val="2"/>
          </rPr>
          <t xml:space="preserve">2da reforma dism 6300
</t>
        </r>
      </text>
    </comment>
    <comment ref="H89" authorId="0">
      <text>
        <r>
          <rPr>
            <sz val="9"/>
            <rFont val="Tahoma"/>
            <family val="2"/>
          </rPr>
          <t xml:space="preserve">2da reforma aum 1950, cuatrimestre
</t>
        </r>
      </text>
    </comment>
    <comment ref="H91" authorId="0">
      <text>
        <r>
          <rPr>
            <sz val="9"/>
            <rFont val="Tahoma"/>
            <family val="2"/>
          </rPr>
          <t xml:space="preserve">2da reforma dism 1700
</t>
        </r>
      </text>
    </comment>
    <comment ref="H92" authorId="0">
      <text>
        <r>
          <rPr>
            <sz val="9"/>
            <rFont val="Tahoma"/>
            <family val="2"/>
          </rPr>
          <t>2da reforma dism 1700</t>
        </r>
      </text>
    </comment>
    <comment ref="H93" authorId="0">
      <text>
        <r>
          <rPr>
            <sz val="9"/>
            <rFont val="Tahoma"/>
            <family val="2"/>
          </rPr>
          <t xml:space="preserve">2da reforma dism 200, cuatrimestre
</t>
        </r>
      </text>
    </comment>
    <comment ref="H94" authorId="0">
      <text>
        <r>
          <rPr>
            <b/>
            <sz val="9"/>
            <rFont val="Tahoma"/>
            <family val="2"/>
          </rPr>
          <t>2da reforma dism 11000</t>
        </r>
        <r>
          <rPr>
            <sz val="9"/>
            <rFont val="Tahoma"/>
            <family val="2"/>
          </rPr>
          <t xml:space="preserve">
</t>
        </r>
      </text>
    </comment>
    <comment ref="H96" authorId="0">
      <text>
        <r>
          <rPr>
            <sz val="9"/>
            <rFont val="Tahoma"/>
            <family val="2"/>
          </rPr>
          <t xml:space="preserve">2da reforma dism 6300
</t>
        </r>
      </text>
    </comment>
    <comment ref="H97" authorId="0">
      <text>
        <r>
          <rPr>
            <b/>
            <sz val="9"/>
            <rFont val="Tahoma"/>
            <family val="2"/>
          </rPr>
          <t>2da reforma dism 280000</t>
        </r>
        <r>
          <rPr>
            <sz val="9"/>
            <rFont val="Tahoma"/>
            <family val="2"/>
          </rPr>
          <t xml:space="preserve">
</t>
        </r>
      </text>
    </comment>
    <comment ref="H98" authorId="0">
      <text>
        <r>
          <rPr>
            <b/>
            <sz val="9"/>
            <rFont val="Tahoma"/>
            <family val="2"/>
          </rPr>
          <t>2da reforma dism 16000</t>
        </r>
        <r>
          <rPr>
            <sz val="9"/>
            <rFont val="Tahoma"/>
            <family val="2"/>
          </rPr>
          <t xml:space="preserve">
</t>
        </r>
      </text>
    </comment>
    <comment ref="H99" authorId="0">
      <text>
        <r>
          <rPr>
            <b/>
            <sz val="9"/>
            <rFont val="Tahoma"/>
            <family val="2"/>
          </rPr>
          <t>2da reforma dism 6300</t>
        </r>
        <r>
          <rPr>
            <sz val="9"/>
            <rFont val="Tahoma"/>
            <family val="2"/>
          </rPr>
          <t xml:space="preserve">
</t>
        </r>
      </text>
    </comment>
    <comment ref="H100" authorId="0">
      <text>
        <r>
          <rPr>
            <b/>
            <sz val="9"/>
            <rFont val="Tahoma"/>
            <family val="2"/>
          </rPr>
          <t>2da reforma dism 91623</t>
        </r>
        <r>
          <rPr>
            <sz val="9"/>
            <rFont val="Tahoma"/>
            <family val="2"/>
          </rPr>
          <t xml:space="preserve">
</t>
        </r>
      </text>
    </comment>
    <comment ref="H101" authorId="0">
      <text>
        <r>
          <rPr>
            <b/>
            <sz val="9"/>
            <rFont val="Tahoma"/>
            <family val="2"/>
          </rPr>
          <t>2da reforma dism 13475</t>
        </r>
        <r>
          <rPr>
            <sz val="9"/>
            <rFont val="Tahoma"/>
            <family val="2"/>
          </rPr>
          <t xml:space="preserve">
</t>
        </r>
      </text>
    </comment>
    <comment ref="H102" authorId="0">
      <text>
        <r>
          <rPr>
            <b/>
            <sz val="9"/>
            <rFont val="Tahoma"/>
            <family val="2"/>
          </rPr>
          <t>2da reforma dism 7500</t>
        </r>
        <r>
          <rPr>
            <sz val="9"/>
            <rFont val="Tahoma"/>
            <family val="2"/>
          </rPr>
          <t xml:space="preserve">
</t>
        </r>
      </text>
    </comment>
    <comment ref="H103" authorId="0">
      <text>
        <r>
          <rPr>
            <b/>
            <sz val="9"/>
            <rFont val="Tahoma"/>
            <family val="2"/>
          </rPr>
          <t>2da reforma dism 3748,50</t>
        </r>
        <r>
          <rPr>
            <sz val="9"/>
            <rFont val="Tahoma"/>
            <family val="2"/>
          </rPr>
          <t xml:space="preserve">
</t>
        </r>
      </text>
    </comment>
    <comment ref="H104" authorId="0">
      <text>
        <r>
          <rPr>
            <b/>
            <sz val="9"/>
            <rFont val="Tahoma"/>
            <family val="2"/>
          </rPr>
          <t>2da reforma dism 3600</t>
        </r>
        <r>
          <rPr>
            <sz val="9"/>
            <rFont val="Tahoma"/>
            <family val="2"/>
          </rPr>
          <t xml:space="preserve">
</t>
        </r>
      </text>
    </comment>
    <comment ref="H106" authorId="0">
      <text>
        <r>
          <rPr>
            <sz val="9"/>
            <rFont val="Tahoma"/>
            <family val="2"/>
          </rPr>
          <t xml:space="preserve">2da reforma dism 2560,50
</t>
        </r>
      </text>
    </comment>
    <comment ref="H107" authorId="0">
      <text>
        <r>
          <rPr>
            <sz val="9"/>
            <rFont val="Tahoma"/>
            <family val="2"/>
          </rPr>
          <t xml:space="preserve">2da reforma dism 14000
</t>
        </r>
      </text>
    </comment>
    <comment ref="H108" authorId="0">
      <text>
        <r>
          <rPr>
            <b/>
            <sz val="9"/>
            <rFont val="Tahoma"/>
            <family val="2"/>
          </rPr>
          <t>2da reforma dism 4900</t>
        </r>
        <r>
          <rPr>
            <sz val="9"/>
            <rFont val="Tahoma"/>
            <family val="2"/>
          </rPr>
          <t xml:space="preserve">
</t>
        </r>
      </text>
    </comment>
    <comment ref="H85" authorId="0">
      <text>
        <r>
          <rPr>
            <b/>
            <sz val="9"/>
            <rFont val="Tahoma"/>
            <family val="2"/>
          </rPr>
          <t>2da reforma dism 6300</t>
        </r>
        <r>
          <rPr>
            <sz val="9"/>
            <rFont val="Tahoma"/>
            <family val="2"/>
          </rPr>
          <t xml:space="preserve">
</t>
        </r>
      </text>
    </comment>
    <comment ref="H95" authorId="0">
      <text>
        <r>
          <rPr>
            <b/>
            <sz val="9"/>
            <rFont val="Tahoma"/>
            <family val="2"/>
          </rPr>
          <t>2da reforma dism 2648</t>
        </r>
        <r>
          <rPr>
            <sz val="9"/>
            <rFont val="Tahoma"/>
            <family val="2"/>
          </rPr>
          <t xml:space="preserve">
</t>
        </r>
      </text>
    </comment>
    <comment ref="H90" authorId="0">
      <text>
        <r>
          <rPr>
            <sz val="9"/>
            <rFont val="Tahoma"/>
            <family val="2"/>
          </rPr>
          <t xml:space="preserve">2da reforma aum 3500
</t>
        </r>
      </text>
    </comment>
    <comment ref="H87" authorId="0">
      <text>
        <r>
          <rPr>
            <b/>
            <sz val="9"/>
            <rFont val="Tahoma"/>
            <family val="2"/>
          </rPr>
          <t>2da reforma aum 6500</t>
        </r>
        <r>
          <rPr>
            <sz val="9"/>
            <rFont val="Tahoma"/>
            <family val="2"/>
          </rPr>
          <t xml:space="preserve">
</t>
        </r>
      </text>
    </comment>
    <comment ref="H88" authorId="0">
      <text>
        <r>
          <rPr>
            <b/>
            <sz val="9"/>
            <rFont val="Tahoma"/>
            <family val="2"/>
          </rPr>
          <t>2da reforma aum 2550</t>
        </r>
        <r>
          <rPr>
            <sz val="9"/>
            <rFont val="Tahoma"/>
            <family val="2"/>
          </rPr>
          <t xml:space="preserve">
</t>
        </r>
      </text>
    </comment>
    <comment ref="H105" authorId="0">
      <text>
        <r>
          <rPr>
            <sz val="9"/>
            <rFont val="Tahoma"/>
            <family val="2"/>
          </rPr>
          <t xml:space="preserve">2da reforma aum 5600
</t>
        </r>
      </text>
    </comment>
    <comment ref="H110" authorId="0">
      <text>
        <r>
          <rPr>
            <b/>
            <sz val="9"/>
            <rFont val="Tahoma"/>
            <family val="2"/>
          </rPr>
          <t>2da reforma dism 300000</t>
        </r>
        <r>
          <rPr>
            <sz val="9"/>
            <rFont val="Tahoma"/>
            <family val="2"/>
          </rPr>
          <t xml:space="preserve">
</t>
        </r>
      </text>
    </comment>
    <comment ref="H111" authorId="0">
      <text>
        <r>
          <rPr>
            <sz val="9"/>
            <rFont val="Tahoma"/>
            <family val="2"/>
          </rPr>
          <t xml:space="preserve">2da reforma dism 4000
</t>
        </r>
      </text>
    </comment>
    <comment ref="H114" authorId="0">
      <text>
        <r>
          <rPr>
            <b/>
            <sz val="9"/>
            <rFont val="Tahoma"/>
            <family val="2"/>
          </rPr>
          <t>2da reforma dism 2000</t>
        </r>
        <r>
          <rPr>
            <sz val="9"/>
            <rFont val="Tahoma"/>
            <family val="2"/>
          </rPr>
          <t xml:space="preserve">
</t>
        </r>
      </text>
    </comment>
    <comment ref="H119" authorId="0">
      <text>
        <r>
          <rPr>
            <sz val="9"/>
            <rFont val="Tahoma"/>
            <family val="2"/>
          </rPr>
          <t xml:space="preserve">2da reforma dism 3300
</t>
        </r>
      </text>
    </comment>
    <comment ref="H121" authorId="0">
      <text>
        <r>
          <rPr>
            <sz val="9"/>
            <rFont val="Tahoma"/>
            <family val="2"/>
          </rPr>
          <t xml:space="preserve">2da reforma dism 6000
</t>
        </r>
      </text>
    </comment>
    <comment ref="H122" authorId="0">
      <text>
        <r>
          <rPr>
            <sz val="9"/>
            <rFont val="Tahoma"/>
            <family val="2"/>
          </rPr>
          <t xml:space="preserve">2da reforma aum 7000, cuatrimestre
</t>
        </r>
      </text>
    </comment>
    <comment ref="H123" authorId="0">
      <text>
        <r>
          <rPr>
            <b/>
            <sz val="9"/>
            <rFont val="Tahoma"/>
            <family val="2"/>
          </rPr>
          <t>2da reforma aum 1000, cuatrimestre</t>
        </r>
        <r>
          <rPr>
            <sz val="9"/>
            <rFont val="Tahoma"/>
            <family val="2"/>
          </rPr>
          <t xml:space="preserve">
</t>
        </r>
      </text>
    </comment>
    <comment ref="H126" authorId="0">
      <text>
        <r>
          <rPr>
            <sz val="9"/>
            <rFont val="Tahoma"/>
            <family val="2"/>
          </rPr>
          <t>2da reforma disminuir 
 2000, cuatrimestre</t>
        </r>
      </text>
    </comment>
    <comment ref="H117" authorId="0">
      <text>
        <r>
          <rPr>
            <sz val="9"/>
            <rFont val="Tahoma"/>
            <family val="2"/>
          </rPr>
          <t xml:space="preserve">2da reforma aum 100, tipo de proceso
</t>
        </r>
      </text>
    </comment>
    <comment ref="H127" authorId="0">
      <text>
        <r>
          <rPr>
            <sz val="9"/>
            <rFont val="Tahoma"/>
            <family val="2"/>
          </rPr>
          <t xml:space="preserve">2da reforma dism 13200
</t>
        </r>
      </text>
    </comment>
    <comment ref="H128" authorId="0">
      <text>
        <r>
          <rPr>
            <b/>
            <sz val="9"/>
            <rFont val="Tahoma"/>
            <family val="2"/>
          </rPr>
          <t>2da reforma aum 500</t>
        </r>
        <r>
          <rPr>
            <sz val="9"/>
            <rFont val="Tahoma"/>
            <family val="2"/>
          </rPr>
          <t xml:space="preserve">
</t>
        </r>
      </text>
    </comment>
    <comment ref="H130" authorId="0">
      <text>
        <r>
          <rPr>
            <sz val="9"/>
            <rFont val="Tahoma"/>
            <family val="2"/>
          </rPr>
          <t xml:space="preserve">2da reforma dism 18700, Cuatrimestre, se separo en 2 rubros por CATE e infima
</t>
        </r>
      </text>
    </comment>
    <comment ref="H118" authorId="0">
      <text>
        <r>
          <rPr>
            <sz val="9"/>
            <rFont val="Tahoma"/>
            <family val="2"/>
          </rPr>
          <t xml:space="preserve">2da reforma aum 600
</t>
        </r>
      </text>
    </comment>
    <comment ref="H133" authorId="0">
      <text>
        <r>
          <rPr>
            <b/>
            <sz val="9"/>
            <rFont val="Tahoma"/>
            <family val="2"/>
          </rPr>
          <t xml:space="preserve">2da reforma dism 5000, cuatrimestre
</t>
        </r>
        <r>
          <rPr>
            <sz val="9"/>
            <rFont val="Tahoma"/>
            <family val="2"/>
          </rPr>
          <t xml:space="preserve">
</t>
        </r>
      </text>
    </comment>
    <comment ref="H134" authorId="0">
      <text>
        <r>
          <rPr>
            <b/>
            <sz val="9"/>
            <rFont val="Tahoma"/>
            <family val="2"/>
          </rPr>
          <t>2da reforma dism 3700, cuatrimestre</t>
        </r>
        <r>
          <rPr>
            <sz val="9"/>
            <rFont val="Tahoma"/>
            <family val="2"/>
          </rPr>
          <t xml:space="preserve">
</t>
        </r>
      </text>
    </comment>
    <comment ref="H135" authorId="0">
      <text>
        <r>
          <rPr>
            <b/>
            <sz val="9"/>
            <rFont val="Tahoma"/>
            <family val="2"/>
          </rPr>
          <t>2da reforma dism 7000</t>
        </r>
        <r>
          <rPr>
            <sz val="9"/>
            <rFont val="Tahoma"/>
            <family val="2"/>
          </rPr>
          <t xml:space="preserve">
</t>
        </r>
      </text>
    </comment>
    <comment ref="H136" authorId="0">
      <text>
        <r>
          <rPr>
            <b/>
            <sz val="9"/>
            <rFont val="Tahoma"/>
            <family val="2"/>
          </rPr>
          <t>2da reforma dism 20353,95</t>
        </r>
        <r>
          <rPr>
            <sz val="9"/>
            <rFont val="Tahoma"/>
            <family val="2"/>
          </rPr>
          <t xml:space="preserve">
</t>
        </r>
      </text>
    </comment>
    <comment ref="H137" authorId="0">
      <text>
        <r>
          <rPr>
            <b/>
            <sz val="9"/>
            <rFont val="Tahoma"/>
            <family val="2"/>
          </rPr>
          <t xml:space="preserve">2da reforma dism 13700
</t>
        </r>
        <r>
          <rPr>
            <sz val="9"/>
            <rFont val="Tahoma"/>
            <family val="2"/>
          </rPr>
          <t xml:space="preserve">
</t>
        </r>
      </text>
    </comment>
    <comment ref="H138" authorId="0">
      <text>
        <r>
          <rPr>
            <b/>
            <sz val="9"/>
            <rFont val="Tahoma"/>
            <family val="2"/>
          </rPr>
          <t>2da reforma dism 3700, cuatrimestre, tipo de proceso</t>
        </r>
        <r>
          <rPr>
            <sz val="9"/>
            <rFont val="Tahoma"/>
            <family val="2"/>
          </rPr>
          <t xml:space="preserve">
</t>
        </r>
      </text>
    </comment>
    <comment ref="H139" authorId="0">
      <text>
        <r>
          <rPr>
            <b/>
            <sz val="9"/>
            <rFont val="Tahoma"/>
            <family val="2"/>
          </rPr>
          <t>2da reforma aum 6300</t>
        </r>
        <r>
          <rPr>
            <sz val="9"/>
            <rFont val="Tahoma"/>
            <family val="2"/>
          </rPr>
          <t xml:space="preserve">
</t>
        </r>
      </text>
    </comment>
    <comment ref="H140" authorId="0">
      <text>
        <r>
          <rPr>
            <b/>
            <sz val="9"/>
            <rFont val="Tahoma"/>
            <family val="2"/>
          </rPr>
          <t>2da reforma dism 2000</t>
        </r>
        <r>
          <rPr>
            <sz val="9"/>
            <rFont val="Tahoma"/>
            <family val="2"/>
          </rPr>
          <t xml:space="preserve">
</t>
        </r>
      </text>
    </comment>
    <comment ref="H141" authorId="0">
      <text>
        <r>
          <rPr>
            <b/>
            <sz val="9"/>
            <rFont val="Tahoma"/>
            <family val="2"/>
          </rPr>
          <t xml:space="preserve">2da reforma dism 1300
</t>
        </r>
        <r>
          <rPr>
            <sz val="9"/>
            <rFont val="Tahoma"/>
            <family val="2"/>
          </rPr>
          <t xml:space="preserve">
</t>
        </r>
      </text>
    </comment>
    <comment ref="H143" authorId="0">
      <text>
        <r>
          <rPr>
            <sz val="9"/>
            <rFont val="Tahoma"/>
            <family val="2"/>
          </rPr>
          <t xml:space="preserve">2da reforma dism 20000
</t>
        </r>
      </text>
    </comment>
    <comment ref="H144" authorId="0">
      <text>
        <r>
          <rPr>
            <sz val="9"/>
            <rFont val="Tahoma"/>
            <family val="2"/>
          </rPr>
          <t xml:space="preserve">2da reforma aum 10000, cuatrimestre
</t>
        </r>
      </text>
    </comment>
    <comment ref="H145" authorId="0">
      <text>
        <r>
          <rPr>
            <sz val="9"/>
            <rFont val="Tahoma"/>
            <family val="0"/>
          </rPr>
          <t xml:space="preserve">2da reforma aum 6300
</t>
        </r>
      </text>
    </comment>
    <comment ref="H146" authorId="0">
      <text>
        <r>
          <rPr>
            <sz val="9"/>
            <rFont val="Tahoma"/>
            <family val="2"/>
          </rPr>
          <t>2da reforma aum 6300</t>
        </r>
        <r>
          <rPr>
            <sz val="9"/>
            <rFont val="Tahoma"/>
            <family val="0"/>
          </rPr>
          <t xml:space="preserve">
</t>
        </r>
      </text>
    </comment>
    <comment ref="H148" authorId="0">
      <text>
        <r>
          <rPr>
            <sz val="9"/>
            <rFont val="Tahoma"/>
            <family val="2"/>
          </rPr>
          <t xml:space="preserve">2da reforma aum 6300
</t>
        </r>
      </text>
    </comment>
    <comment ref="H120" authorId="0">
      <text>
        <r>
          <rPr>
            <b/>
            <sz val="9"/>
            <rFont val="Tahoma"/>
            <family val="2"/>
          </rPr>
          <t>2da reforma cuatrimestre</t>
        </r>
        <r>
          <rPr>
            <sz val="9"/>
            <rFont val="Tahoma"/>
            <family val="2"/>
          </rPr>
          <t xml:space="preserve">
</t>
        </r>
      </text>
    </comment>
    <comment ref="H124" authorId="0">
      <text>
        <r>
          <rPr>
            <b/>
            <sz val="9"/>
            <rFont val="Tahoma"/>
            <family val="2"/>
          </rPr>
          <t>2da reforma cuatrimestre</t>
        </r>
        <r>
          <rPr>
            <sz val="9"/>
            <rFont val="Tahoma"/>
            <family val="2"/>
          </rPr>
          <t xml:space="preserve">
</t>
        </r>
      </text>
    </comment>
    <comment ref="H132" authorId="0">
      <text>
        <r>
          <rPr>
            <b/>
            <sz val="9"/>
            <rFont val="Tahoma"/>
            <family val="2"/>
          </rPr>
          <t>2da reforma cuatrimestre</t>
        </r>
        <r>
          <rPr>
            <sz val="9"/>
            <rFont val="Tahoma"/>
            <family val="2"/>
          </rPr>
          <t xml:space="preserve">
</t>
        </r>
      </text>
    </comment>
    <comment ref="H129" authorId="0">
      <text>
        <r>
          <rPr>
            <sz val="9"/>
            <rFont val="Tahoma"/>
            <family val="2"/>
          </rPr>
          <t>2da reforma dism 18700, Cuatrimestre, se separo en 2 rubros por CATE e infima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75" authorId="0">
      <text>
        <r>
          <rPr>
            <sz val="9"/>
            <rFont val="Tahoma"/>
            <family val="0"/>
          </rPr>
          <t xml:space="preserve">cuatrimestre
</t>
        </r>
      </text>
    </comment>
    <comment ref="H13" authorId="0">
      <text>
        <r>
          <rPr>
            <b/>
            <sz val="9"/>
            <rFont val="Tahoma"/>
            <family val="0"/>
          </rPr>
          <t>2da reforma cuatrimestre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<sst xmlns="http://schemas.openxmlformats.org/spreadsheetml/2006/main" count="1646" uniqueCount="354">
  <si>
    <t>Por favor no modifique la estructura del archivo para subir al sistema Módulo Facilitador de la Contratación Pública</t>
  </si>
  <si>
    <t>RUC_ENTIDAD</t>
  </si>
  <si>
    <t>0760051410001</t>
  </si>
  <si>
    <t>INFORMACIÓN DE LA PARTIDA PRESUPUESTARIA</t>
  </si>
  <si>
    <t>INFORMACIÓN DETALLADA DE LOS PRODUCTOS</t>
  </si>
  <si>
    <t>AÑO</t>
  </si>
  <si>
    <t>PARTIDA PRESUPUESTARIA / CUENTA CONTABLE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</si>
  <si>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</si>
  <si>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</si>
  <si>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</si>
  <si>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</si>
  <si>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</si>
  <si>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</si>
  <si>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</si>
  <si>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</si>
  <si>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</si>
  <si>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</si>
  <si>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</si>
  <si>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</si>
  <si>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</si>
  <si>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</si>
  <si>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</si>
  <si>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</si>
  <si>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</si>
  <si>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ACRE</t>
  </si>
  <si>
    <t>ADQUISICION DE BIENES INMUEBLES</t>
  </si>
  <si>
    <t>AMPERIO</t>
  </si>
  <si>
    <t>ARRENDAMIENTO DE BIENES INMUEBLES</t>
  </si>
  <si>
    <t>AMPERIO POR METRO</t>
  </si>
  <si>
    <t>ARRENDAMIENTO DE BIENES MUEBLES</t>
  </si>
  <si>
    <t>AMPERIO POR METRO CUADRADO</t>
  </si>
  <si>
    <t>ASESORIA Y PATROCINIO JURIDICO</t>
  </si>
  <si>
    <t>ÁNGSTROM</t>
  </si>
  <si>
    <t>ASESORIA Y PATROCINIO JURIDICO CONSULTAS PUNTUALES Y ESPECIFICAS</t>
  </si>
  <si>
    <t>BAR</t>
  </si>
  <si>
    <t>BIENES Y SERVICIOS UNICOS</t>
  </si>
  <si>
    <t>BARRIL</t>
  </si>
  <si>
    <t>CATALOGO ELECTRONICO</t>
  </si>
  <si>
    <t>BECQUEREL</t>
  </si>
  <si>
    <t>COMUNICACION SOCIAL CONTRATACION DIRECTA</t>
  </si>
  <si>
    <t>CAMPAMENTO PROVISIONAL DE OBRAS</t>
  </si>
  <si>
    <t>COMUNICACION SOCIAL PROCESO DE SELECCION</t>
  </si>
  <si>
    <t>CANDELA</t>
  </si>
  <si>
    <t>CONCURSO PUBLICO</t>
  </si>
  <si>
    <t>CANDELA POR METRO CUADRADO</t>
  </si>
  <si>
    <t>CONCURSO PUBLICO POR CONTRATACION DIRECTA DESIERTA</t>
  </si>
  <si>
    <t>CENTÍGRAMO</t>
  </si>
  <si>
    <t>CONCURSO PUBLICO POR LISTA CORTA DESIERTA</t>
  </si>
  <si>
    <t>CENTÍMETRO</t>
  </si>
  <si>
    <t>CONTRATACION DIRECTA</t>
  </si>
  <si>
    <t>CENTÍMETRO CUADRADO</t>
  </si>
  <si>
    <t>CONTRATACIONES CON EMPRESAS PUBLICAS INTERNACIONALES</t>
  </si>
  <si>
    <t>CENTÍMETRO CÚBICO</t>
  </si>
  <si>
    <t>CONTRATACIONES DE INSTITUCIONES FINANCIERAS Y SEGUROS DEL ESTADO</t>
  </si>
  <si>
    <t>CULOMBIO</t>
  </si>
  <si>
    <t>CONTRATACION INTEGRAL POR PRECIO FIJO</t>
  </si>
  <si>
    <t>DÍA</t>
  </si>
  <si>
    <t>CONTRATOS ENTRE ENTIDADES PUBLICAS O SUBSIDIARIAS</t>
  </si>
  <si>
    <t>DINA</t>
  </si>
  <si>
    <t>COTIZACION</t>
  </si>
  <si>
    <t>ELECTRONVOLTIO</t>
  </si>
  <si>
    <t>EMPRESAS PUBLICAS MERCANTILES Y SUBSIDIARIAS</t>
  </si>
  <si>
    <t>ERGIO</t>
  </si>
  <si>
    <t>FERIAS INCLUSIVAS</t>
  </si>
  <si>
    <t>ESTEREORRADIÁN</t>
  </si>
  <si>
    <t>INFIMA CUANTIA</t>
  </si>
  <si>
    <t>FARADIO</t>
  </si>
  <si>
    <t>LICITACION</t>
  </si>
  <si>
    <t>GALÓN (UK)</t>
  </si>
  <si>
    <t>LICITACION DE SEGUROS</t>
  </si>
  <si>
    <t>GALÓN (US)</t>
  </si>
  <si>
    <t>LISTA CORTA</t>
  </si>
  <si>
    <t>GLOBAL</t>
  </si>
  <si>
    <t>LISTA CORTA POR CONTRATACION DIRECTA DESIERTA</t>
  </si>
  <si>
    <t>GRADO CELSIUS</t>
  </si>
  <si>
    <t>MENOR CUANTIA</t>
  </si>
  <si>
    <t>GRAMO</t>
  </si>
  <si>
    <t>OBRA ARTISTICA LITERARIA O CIENTIFICA</t>
  </si>
  <si>
    <t>GRAMO SOBRE CENTÍMETRO CÚBICO</t>
  </si>
  <si>
    <t>REPUESTOS O ACCESORIOS</t>
  </si>
  <si>
    <t>GRAY</t>
  </si>
  <si>
    <t>SECTORES ESTRATEGICOS</t>
  </si>
  <si>
    <t>HECTÁREA</t>
  </si>
  <si>
    <t>SEGUROS</t>
  </si>
  <si>
    <t>HENRIO</t>
  </si>
  <si>
    <t>SUBASTA INVERSA ELECTRONICA</t>
  </si>
  <si>
    <t>HERTZIO</t>
  </si>
  <si>
    <t>TRANSPORTE DE CORREO INTERNO O INTERNACIONAL</t>
  </si>
  <si>
    <t>HORA</t>
  </si>
  <si>
    <t>JULIO</t>
  </si>
  <si>
    <t>KATAL</t>
  </si>
  <si>
    <t>KELVIN</t>
  </si>
  <si>
    <t>KILOGRAMO</t>
  </si>
  <si>
    <t>KILOGRAMO POR METRO CUADRADO</t>
  </si>
  <si>
    <t>KILOGRAMO POR METRO CÚBICO</t>
  </si>
  <si>
    <t>KILÓMETRO</t>
  </si>
  <si>
    <t>KILÓMETRO CUADRADO</t>
  </si>
  <si>
    <t>LIBRA</t>
  </si>
  <si>
    <t>LIBRA SOBRE PIE CÚBICO</t>
  </si>
  <si>
    <t>LIBRA SOBRE PULGADA CÚBICA</t>
  </si>
  <si>
    <t>LITRO</t>
  </si>
  <si>
    <t>LUMEN</t>
  </si>
  <si>
    <t>LUX</t>
  </si>
  <si>
    <t>METRO</t>
  </si>
  <si>
    <t>METRO CUADRADO</t>
  </si>
  <si>
    <t>METRO CÚBICO</t>
  </si>
  <si>
    <t>METRO CÚBICO-KILÓMETRO</t>
  </si>
  <si>
    <t>METRO CÚBICO POR KILOGRAMO</t>
  </si>
  <si>
    <t>METRO POR SEGUNDO</t>
  </si>
  <si>
    <t>METRO POR SEGUNDO AL CUADRADO</t>
  </si>
  <si>
    <t>METRO RECÍPROCO</t>
  </si>
  <si>
    <t>MILIGRAMO</t>
  </si>
  <si>
    <t>MILÍMETRO</t>
  </si>
  <si>
    <t>MILÍMETROS  DE   MERCURIO</t>
  </si>
  <si>
    <t>MILLA</t>
  </si>
  <si>
    <t>MILLA CUADRADA</t>
  </si>
  <si>
    <t>MILLA NÁUTICA</t>
  </si>
  <si>
    <t>MINUTO</t>
  </si>
  <si>
    <t>MOLE</t>
  </si>
  <si>
    <t>MOLE POR METRO CÚBICO</t>
  </si>
  <si>
    <t>NEWTON</t>
  </si>
  <si>
    <t>OHMIO</t>
  </si>
  <si>
    <t>ONZA</t>
  </si>
  <si>
    <t>PAR</t>
  </si>
  <si>
    <t>PASCAL</t>
  </si>
  <si>
    <t>PIE</t>
  </si>
  <si>
    <t>PIE CUADRADO</t>
  </si>
  <si>
    <t>PIE CÚBICO</t>
  </si>
  <si>
    <t>PULGADA</t>
  </si>
  <si>
    <t>PULGADA CUADRADA</t>
  </si>
  <si>
    <t>PULGADA CÚBICA</t>
  </si>
  <si>
    <t>PUNTO</t>
  </si>
  <si>
    <t>QUINTAL</t>
  </si>
  <si>
    <t>QUINTAL PEQUEÑO</t>
  </si>
  <si>
    <t>RADIAN</t>
  </si>
  <si>
    <t>SEGUNDO</t>
  </si>
  <si>
    <t>SIEMENS</t>
  </si>
  <si>
    <t>SIEVERT</t>
  </si>
  <si>
    <t>SLUG</t>
  </si>
  <si>
    <t>TESLA</t>
  </si>
  <si>
    <t>TONELADA</t>
  </si>
  <si>
    <t>TONELADA PEQUEÑA</t>
  </si>
  <si>
    <t>TON (UK)</t>
  </si>
  <si>
    <t>UNIDAD</t>
  </si>
  <si>
    <t>VATIO</t>
  </si>
  <si>
    <t>VOLTIO</t>
  </si>
  <si>
    <t>WEBER</t>
  </si>
  <si>
    <t>YARDA</t>
  </si>
  <si>
    <t>YARDA CUADRADA</t>
  </si>
  <si>
    <t>YARDA CÚBICA</t>
  </si>
  <si>
    <t>53.01.06</t>
  </si>
  <si>
    <t>SERVICIO</t>
  </si>
  <si>
    <t>SERVICIO DE ENTREGA CORRESPONDENCIA</t>
  </si>
  <si>
    <t xml:space="preserve">UNIDAD </t>
  </si>
  <si>
    <t>S</t>
  </si>
  <si>
    <t>NORMALIZADO</t>
  </si>
  <si>
    <t>COMUN</t>
  </si>
  <si>
    <t>NO</t>
  </si>
  <si>
    <t>GASTO CORRIENTE</t>
  </si>
  <si>
    <t>53.02.04</t>
  </si>
  <si>
    <t>BRANDEO DE VEHICULOS INSTITUCIONALES</t>
  </si>
  <si>
    <t>53.02.08</t>
  </si>
  <si>
    <t>SERVICIO DE VIGILANCIA ARMADA</t>
  </si>
  <si>
    <t>53.02.09</t>
  </si>
  <si>
    <t>SERVICIO DE LIMPIEZA INSTITUCIONAL</t>
  </si>
  <si>
    <t>SI</t>
  </si>
  <si>
    <t>53.02.46</t>
  </si>
  <si>
    <t>RASTREO SATELITAL PARA VEHICULOS INSTITUCIONALES</t>
  </si>
  <si>
    <t>53.04.02</t>
  </si>
  <si>
    <t>OBRAS</t>
  </si>
  <si>
    <t>MANTENIMIENTO Y REPARACION DE INFRAESTRUCTURAS</t>
  </si>
  <si>
    <t>NO NORMALIZADO</t>
  </si>
  <si>
    <t>MANTENIMIENTO DE BATERIAS SANITARIAS</t>
  </si>
  <si>
    <t>53.04.03</t>
  </si>
  <si>
    <t>MANTENIMIENTO PREVENTIVO Y CORRECTIVO DE MOBILIARIO</t>
  </si>
  <si>
    <t>53.04.04</t>
  </si>
  <si>
    <t>MANTENIMIENTO DE AIRES ACONDICIONADOS</t>
  </si>
  <si>
    <t>MANTENIMIENTO BALIZAS Y SIRENAS</t>
  </si>
  <si>
    <t>53.04.05</t>
  </si>
  <si>
    <t>MANTENIMIENTO DE VEHICULOS INSTITUCIONALES</t>
  </si>
  <si>
    <t>ESPECIAL</t>
  </si>
  <si>
    <t>SERVICIO DE EMPASTE A CAMIONETAS DE CONTROL Y VIGILANCIA</t>
  </si>
  <si>
    <t>LAVADO DE VEHICULOS INSTITUCIONALES</t>
  </si>
  <si>
    <t>MANTENIMIENTO DE BICICLETAS Y SCOOTER</t>
  </si>
  <si>
    <t>53.08.03</t>
  </si>
  <si>
    <t>BIEN</t>
  </si>
  <si>
    <t>ACEITE LUBRICANTE PARA VEHICULOS A DIESEL</t>
  </si>
  <si>
    <t>ACEITE LUBRICANTE PARA VEHICULOS A GASOLINA</t>
  </si>
  <si>
    <t>53.08.04</t>
  </si>
  <si>
    <t>53.08.13</t>
  </si>
  <si>
    <t>ADQUISICION DE NEUMATICOS</t>
  </si>
  <si>
    <t>ADQUISICION DE REPUESTOS Y ACCESORIOS PARA VEHICULOS</t>
  </si>
  <si>
    <t>ADQUISICION DE FORROS Y PROTECTOR DE BALDE</t>
  </si>
  <si>
    <t>PROYECTO DE INVERSION</t>
  </si>
  <si>
    <t>53.14.03</t>
  </si>
  <si>
    <t>ADQUISICION DE MOBILIARIO NO DEPRECIABLE</t>
  </si>
  <si>
    <t>53.14.04</t>
  </si>
  <si>
    <t>ADQUISICION DE PISTOLA RADAR</t>
  </si>
  <si>
    <t>57.02.01</t>
  </si>
  <si>
    <t>POLIZA DE SEGURO TODO RIESGO PARA LOS BIENES DE LA ENTIDAD</t>
  </si>
  <si>
    <t>84.01.04</t>
  </si>
  <si>
    <t>ADQUISICION DE EQUIPOS DE OFICINA</t>
  </si>
  <si>
    <t>84.01.03</t>
  </si>
  <si>
    <t>ADQUISICION DE MUEBLES DE OFICINA</t>
  </si>
  <si>
    <t>53.02.03</t>
  </si>
  <si>
    <t>RECARGAS DE EXTINTORES</t>
  </si>
  <si>
    <t>EQUIPOS Y SISTEMAS CONTRA INCENDIOS</t>
  </si>
  <si>
    <t>53.03.02</t>
  </si>
  <si>
    <t>53.03.01</t>
  </si>
  <si>
    <t>MANTENIMIENTO DE SISTEMA DE ALARMAS</t>
  </si>
  <si>
    <t>CONTRATACION DE SERVICIOS Y CAPACITACIONES PARA EL PERSONAL TECNICO Y ADMINISTRATIVO Y OPERATIVO</t>
  </si>
  <si>
    <t>53.06.12</t>
  </si>
  <si>
    <t>53.07.02</t>
  </si>
  <si>
    <t>53.08.02</t>
  </si>
  <si>
    <t>53.08.09</t>
  </si>
  <si>
    <t>ADQUISICION DE INSUMOS MEDICOS Y DE MEDICINA</t>
  </si>
  <si>
    <t>POLIZA DE SEGURO DE FIDELIDAD PARA LOS AGENTES CIVILES DE TRANSITO Y PERSONAL ADMINISTRATIVO</t>
  </si>
  <si>
    <t>ADQUISICION DE CAMILLAS RIGIDAS DE RESCATE</t>
  </si>
  <si>
    <t>ADQUISICION DE EQUIPO DE INTERVENCION PARA BRIGADISTAS</t>
  </si>
  <si>
    <t>53.08.07</t>
  </si>
  <si>
    <t>ADQUISICION DE ADHESIVOS DE SEGURIDAD CONTROL TRANSPORTE PUBLICO RUM</t>
  </si>
  <si>
    <t>53.08.11</t>
  </si>
  <si>
    <t>ADQUISICION DE MATERIAL DE FERRETERIA</t>
  </si>
  <si>
    <t>73.05.05</t>
  </si>
  <si>
    <t>ALQUILER DE CAMION GRUA PARA SEÑALIZACION</t>
  </si>
  <si>
    <t>73.04.18</t>
  </si>
  <si>
    <t>MANTENIMIENTO DE MUROS JERSEY</t>
  </si>
  <si>
    <t>REDISEÑOS VIALES RETORNOS GIROS DISTRIBUIDORES DE TRANSITO RAMPAS</t>
  </si>
  <si>
    <t>MANTENIMIENTO SEÑALIZACION DE CICLOVIA DE LA AV 25 DE JUNIO Y NUEVOS</t>
  </si>
  <si>
    <t>73.08.11</t>
  </si>
  <si>
    <t>ADQUISICION DE SEÑALES VERTICALES</t>
  </si>
  <si>
    <t>ADQUISICION DE CABLE CONDUCTOR DE CU CONCENTRICO TIPO TC</t>
  </si>
  <si>
    <t>ADQUISICION DE SACOS DE CEMENTO PARA INSTALACION DE INTERSECCIONES SEMAFORICA</t>
  </si>
  <si>
    <t>73.08.13</t>
  </si>
  <si>
    <t>ADQUISICION DE REPUESTOS PARA INTERSECCIONES DE SEMAFORICAS</t>
  </si>
  <si>
    <t>ADQUISICION DE INTERSECCIONES SEMAFOROS NUEVOS</t>
  </si>
  <si>
    <t>ADQUISICION DE 50 LENTES DE GIRO PARA SEMAFOROS</t>
  </si>
  <si>
    <t>ADQUISICION DE SEMAFOROS PARA VERDE BUS PARA 20 INTERSECCIONES</t>
  </si>
  <si>
    <t>75.01.05</t>
  </si>
  <si>
    <t>SEÑALIZACION HORIZONTAL</t>
  </si>
  <si>
    <t>ADQUISICION DE TACHAS SOLARES</t>
  </si>
  <si>
    <t>RECAPEO Y BACHEO</t>
  </si>
  <si>
    <t>ADQUISICION DE DOCUMENTOS DE SEGURIDAD MATRICULA VEHICULAR ADHESIVO REVISION VEHICULAR</t>
  </si>
  <si>
    <t>ADQUISICION DE LIBRETINES DE CITACIONES</t>
  </si>
  <si>
    <t>SERVICIO DE RADIO FRECUENCIA</t>
  </si>
  <si>
    <t>ADQUISICION DE CINTA DE PELIGRO</t>
  </si>
  <si>
    <t>ADQUISICION DE BOQUILLAS</t>
  </si>
  <si>
    <t>ADQUISICION DE BATERIAS PARA RADIOS</t>
  </si>
  <si>
    <t>ADQUISICION DE MICROFONO</t>
  </si>
  <si>
    <t>ADQUISICION DE CONOS</t>
  </si>
  <si>
    <t>ADQUISICION DE RADIOS</t>
  </si>
  <si>
    <t>ADQUISICION DE CARGADORES PARA RADIOS DEL AREA DE CV</t>
  </si>
  <si>
    <t>ADQUISICION DE VALLAS</t>
  </si>
  <si>
    <t>ADQUISICION DE MOTOCICLETAS PARA EL AREA DE CONTROL Y VIGILANCIA</t>
  </si>
  <si>
    <t>ADQUISICION DE BICICLETAS</t>
  </si>
  <si>
    <t>ADQUISICION DE BODY CAM</t>
  </si>
  <si>
    <t>84.01.11</t>
  </si>
  <si>
    <t>ADQUISICION DE SIRENAS Y PARLANTE</t>
  </si>
  <si>
    <t>53.01.05</t>
  </si>
  <si>
    <t>SERVICIO DE INTERNET Y ENLACE DE DATOS</t>
  </si>
  <si>
    <t>ADQUISICION DE CENTRAL TELEFONICA</t>
  </si>
  <si>
    <t>SERVICIO DE INSTALACION DE CORREO INSTITUCIONAL CON LICENCIAMIENTO</t>
  </si>
  <si>
    <t>53.07.03</t>
  </si>
  <si>
    <t>SERVICIO DE ENLACE DE DATOS Y BACKUP ENTRE EDIFICIOS</t>
  </si>
  <si>
    <t>53.07.04</t>
  </si>
  <si>
    <t>MANTENIMIENTO DE EQUIPOS DE SISTEMAS INFORMATICOS</t>
  </si>
  <si>
    <t>MANTENIMIENTO DE UPS</t>
  </si>
  <si>
    <t>MANTENIMIENTO DE INFRAESTRUCTURA DE REDES</t>
  </si>
  <si>
    <t>ADQUISICION DE PARTES DE REPUESTOS Y ACCESORIOS PARA EQUIPOS INFORMATICOS</t>
  </si>
  <si>
    <t>73.07.01</t>
  </si>
  <si>
    <t>SERVICIO DE ARRENDAMIENTO MENSUAL DEL SISTEMA AXIS CLOUD</t>
  </si>
  <si>
    <t>84.01.07</t>
  </si>
  <si>
    <t>ADQUISICION DE CAMARAS IP</t>
  </si>
  <si>
    <t>ADQUISICION DE FIREWALL DE SEGURIDAD</t>
  </si>
  <si>
    <t>ADQUISICION DE EQUIPOS Y MATERIALES PARA REDES INFORMATICAS</t>
  </si>
  <si>
    <t>73.02.07</t>
  </si>
  <si>
    <t>SERVICIO DE REDES SOCIALES</t>
  </si>
  <si>
    <t>SERVICIO DE DIFUSION DE JINGLES PUBLICITARIOS E INFORMATIVOS A TRAVES DE PRENSA HABLADA</t>
  </si>
  <si>
    <t>SERVICIO DE DIFUSION DE PUBLICIDAD E INFORMACION A TRAVES DE PRENSA ESCRITA</t>
  </si>
  <si>
    <t>ARRENDAMIENTO DE ESPACIOS PUBLICITARIOS EN BUSES</t>
  </si>
  <si>
    <t>ELABORACION PRODUCCION Y DIFUSION DE CAMPAÑA PROMOCION DE SERVICIO</t>
  </si>
  <si>
    <t>ADQUISICION DE MATERIAL PUBLICITARIO</t>
  </si>
  <si>
    <t>ADQUISICION DE CAMARA</t>
  </si>
  <si>
    <t>73.08.24</t>
  </si>
  <si>
    <t>ADQUISICION DE MATERIAL IMPLEMENTACION CULTURA VIAL</t>
  </si>
  <si>
    <t>SERVICIO DE PLANIFICACION DISEÑO Y EJECUCION DE CAMPAÑA EDUCATIVA SOBRE CULTURA VIAL</t>
  </si>
  <si>
    <t>ADQUISICION DE PLACAS PARA LA SEÑALIZACION DE NOMENCLATURA VIAL, ETAPA 1 CASCO CENTRAL Y SECTORES QUE REQUIEREN</t>
  </si>
  <si>
    <t>53.05.02</t>
  </si>
  <si>
    <t>TOTAL PRESUPUESTO</t>
  </si>
  <si>
    <t>TOTAL</t>
  </si>
  <si>
    <t>84.01.05</t>
  </si>
  <si>
    <t>53.06.01</t>
  </si>
  <si>
    <t>ADQUISICION DE ARNES DE PECHO</t>
  </si>
  <si>
    <t>ADQUISICION DE CLIP DE PECHO</t>
  </si>
  <si>
    <t>MANTENIMIENTO SEMESTRAL</t>
  </si>
  <si>
    <t>ADQUISICION DE ESTANTE DE CARGA</t>
  </si>
  <si>
    <t>SECRETARIA GENERAL</t>
  </si>
  <si>
    <t>SUBGERENCIA ADMINISTRATIVA</t>
  </si>
  <si>
    <t>JEFATURA DE TALENTO HUMANO</t>
  </si>
  <si>
    <t>SUBGERENCIA DE REGULACIÓN</t>
  </si>
  <si>
    <t>SUBGERENCIA DE CONTROL Y VIGILANCIA</t>
  </si>
  <si>
    <t>ASESORÍA JURÍDICA</t>
  </si>
  <si>
    <t>JEFATURA DE TECNOLOGIA DE LA INFORMACIÓN</t>
  </si>
  <si>
    <t>JEFATURA DE COMUNICACIÓN</t>
  </si>
  <si>
    <t>AREA DE EDUCACIÓN VIAL Y VINCULACIÓN CON LA COMUNIDAD</t>
  </si>
  <si>
    <t>SERVICIO DE INTERNET MOVIL PARA LOS EQUIPOS DE SERTMA</t>
  </si>
  <si>
    <t>ADQUISICION DE FOTOMULTAS</t>
  </si>
  <si>
    <t>ADQUISICION DE EQUIPOS TECNOLOGICOS PARA LA EMISION DE INFRACCIONES DE SERTMA</t>
  </si>
  <si>
    <t>ARRENDAMIENTO DE ESPACIOS PUBLICITARIOS CON PANTALLAS LED</t>
  </si>
  <si>
    <t>ADQUISICION DE TELÉFONO MÓVIL TECNOLOGÍA AVANZADA</t>
  </si>
  <si>
    <t>ADQUISICION DE SUMINISTROS PARA LA OFICINA POR CATALOGO ELECTRONICO</t>
  </si>
  <si>
    <t>ADQUISICION DE SUMINISTROS PARA LA OFICINA NO CATALOGADOS</t>
  </si>
  <si>
    <t>ADQUISICION DE EQUIPO DE PROTECCION PERSONAL PARA TECNICOS BIENES NO CATALOGADOS</t>
  </si>
  <si>
    <t>ADQUISICION DE ROPA DE TRABAJO PARA EL PERSONAL QUE LABORA EN EL AREA DE SERTMA</t>
  </si>
  <si>
    <t>ADQUISICION DE EQUIPOS Y MAQUINARIA PARA TRABAJOS DE SEÑALIZACION Y SEMAFORIZACION</t>
  </si>
  <si>
    <t>ADQUISICION DE BALIZAS</t>
  </si>
  <si>
    <t>ADQUISICION DE EQUIPOS INFORMATICOS</t>
  </si>
  <si>
    <t>LICENCIA</t>
  </si>
  <si>
    <t>LICENCIA DE USO DE SISTEMA JURIDICO ESPECIALIZADO EN LINEA</t>
  </si>
  <si>
    <t>LICENCIAS ANTIVIRUS</t>
  </si>
  <si>
    <t>ADQUISICION DE CAMIONETA</t>
  </si>
  <si>
    <t>PLAN ANUAL DE COMPRAS 2023</t>
  </si>
  <si>
    <t>EJECUTADO</t>
  </si>
  <si>
    <t>SALDO</t>
  </si>
  <si>
    <t>53.02.55</t>
  </si>
  <si>
    <t>ABASTECIMIENTO DE COMBUSTIBLE</t>
  </si>
  <si>
    <t>ADQUISICION DE SUMINISTROS DE IMPRESIÓN POR CATALOGO ELECTRONICO</t>
  </si>
  <si>
    <t>ADQUISICION DE SUMINISTROS DE IMPRESIÓN NO CATALOGADOS</t>
  </si>
  <si>
    <t>53.02.02</t>
  </si>
  <si>
    <t>SERVICIO DE MUDANZA</t>
  </si>
  <si>
    <t>PLATAFORMA PARA CONCURSO DE MERITOS Y OPOSICION</t>
  </si>
  <si>
    <t>ADQUISICION DE SEÑALETICA DE SEGURIDAD</t>
  </si>
  <si>
    <t>BOTIQUIN DE PRIMEROS AUXILIOS</t>
  </si>
  <si>
    <t>53.02.26</t>
  </si>
  <si>
    <t>EXAMENES ESPECIALES DE AUDIOMETRIA Y EPITOMETRIA PARA EL PERSONAL OPERATIVO</t>
  </si>
  <si>
    <t>ADQUISICION DE EQUIPO DE PROTECCION PERSONAL PARA AGENTES DE TRANSITO</t>
  </si>
  <si>
    <t>ADQUISICION DE ROPA DE TRABAJO PARA TECNICOS POR CATALOGO ELECTRONICO</t>
  </si>
  <si>
    <t>PASAJES AL EXTERIOR</t>
  </si>
  <si>
    <t>PASAJES AL INTERIOR</t>
  </si>
  <si>
    <t>ADQUISICION DE PINTURAS PARA TRABAJOS DE SENALIZACION HORIZONTAL</t>
  </si>
  <si>
    <t>ADQUISICION DE ROLLOS TERMICO PARA ALCOHOTECTORES</t>
  </si>
  <si>
    <t>ADQUISICION DE PROFUNDIMETROS</t>
  </si>
  <si>
    <t>ADQUISICION DE SELLOS DE SEGURIDAD</t>
  </si>
  <si>
    <t>ADQUISICION DE BLOCK PARA CONTROL DE VEHICULOS</t>
  </si>
  <si>
    <t>ADQUISICION DE CASCOS HOMOLOGADOS</t>
  </si>
  <si>
    <t>SERVICIO DE HOSTING</t>
  </si>
  <si>
    <t>ADQUISICION DE EQUIPOS Y ACCESORIOS TECNOLOGICOS PARA CREACION DE CONTENIDO</t>
  </si>
  <si>
    <t>ADQUISICION DE INFLABLES</t>
  </si>
  <si>
    <t>ADQUISICION DE CARPAS</t>
  </si>
  <si>
    <t>GESTION COMERCIAL</t>
  </si>
  <si>
    <t>ADQUISICION DE MATERIAL PUBLICITARIO PARA SERTMA</t>
  </si>
  <si>
    <t>ADQUISICION DE EQUIPOS INFORMATICOS BIENES NO CATALOGADOS</t>
  </si>
  <si>
    <t>ACTIVACION DE LICENCIA DE USO DE SOFTWARE DE CONTROL DE ASISTENCIA DE PERSONAL</t>
  </si>
  <si>
    <t>IMPRESION DE MATERIAL CAMPAÑAS PREVENTIVAS</t>
  </si>
</sst>
</file>

<file path=xl/styles.xml><?xml version="1.0" encoding="utf-8"?>
<styleSheet xmlns="http://schemas.openxmlformats.org/spreadsheetml/2006/main">
  <numFmts count="1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3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2" fontId="5" fillId="35" borderId="15" xfId="0" applyNumberFormat="1" applyFont="1" applyFill="1" applyBorder="1" applyAlignment="1" applyProtection="1">
      <alignment/>
      <protection/>
    </xf>
    <xf numFmtId="2" fontId="6" fillId="0" borderId="14" xfId="0" applyNumberFormat="1" applyFont="1" applyFill="1" applyBorder="1" applyAlignment="1" applyProtection="1">
      <alignment/>
      <protection/>
    </xf>
    <xf numFmtId="0" fontId="2" fillId="36" borderId="14" xfId="0" applyFont="1" applyFill="1" applyBorder="1" applyAlignment="1" applyProtection="1">
      <alignment/>
      <protection/>
    </xf>
    <xf numFmtId="0" fontId="2" fillId="36" borderId="16" xfId="0" applyFont="1" applyFill="1" applyBorder="1" applyAlignment="1" applyProtection="1">
      <alignment/>
      <protection/>
    </xf>
    <xf numFmtId="2" fontId="2" fillId="36" borderId="14" xfId="0" applyNumberFormat="1" applyFont="1" applyFill="1" applyBorder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6" borderId="14" xfId="0" applyFont="1" applyFill="1" applyBorder="1" applyAlignment="1">
      <alignment/>
    </xf>
    <xf numFmtId="2" fontId="2" fillId="36" borderId="14" xfId="0" applyNumberFormat="1" applyFont="1" applyFill="1" applyBorder="1" applyAlignment="1">
      <alignment/>
    </xf>
    <xf numFmtId="0" fontId="2" fillId="36" borderId="16" xfId="0" applyFont="1" applyFill="1" applyBorder="1" applyAlignment="1">
      <alignment/>
    </xf>
    <xf numFmtId="0" fontId="3" fillId="36" borderId="0" xfId="0" applyFont="1" applyFill="1" applyAlignment="1" applyProtection="1">
      <alignment/>
      <protection/>
    </xf>
    <xf numFmtId="2" fontId="5" fillId="37" borderId="15" xfId="0" applyNumberFormat="1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 vertical="center" wrapText="1"/>
      <protection/>
    </xf>
    <xf numFmtId="2" fontId="5" fillId="35" borderId="14" xfId="0" applyNumberFormat="1" applyFont="1" applyFill="1" applyBorder="1" applyAlignment="1" applyProtection="1">
      <alignment/>
      <protection/>
    </xf>
    <xf numFmtId="2" fontId="5" fillId="37" borderId="14" xfId="0" applyNumberFormat="1" applyFont="1" applyFill="1" applyBorder="1" applyAlignment="1" applyProtection="1">
      <alignment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2" fillId="36" borderId="10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2" fontId="4" fillId="36" borderId="14" xfId="0" applyNumberFormat="1" applyFont="1" applyFill="1" applyBorder="1" applyAlignment="1">
      <alignment/>
    </xf>
    <xf numFmtId="2" fontId="4" fillId="36" borderId="14" xfId="0" applyNumberFormat="1" applyFont="1" applyFill="1" applyBorder="1" applyAlignment="1" applyProtection="1">
      <alignment/>
      <protection/>
    </xf>
    <xf numFmtId="0" fontId="2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5" fillId="35" borderId="16" xfId="0" applyFont="1" applyFill="1" applyBorder="1" applyAlignment="1" applyProtection="1">
      <alignment horizontal="center"/>
      <protection/>
    </xf>
    <xf numFmtId="0" fontId="5" fillId="35" borderId="17" xfId="0" applyFont="1" applyFill="1" applyBorder="1" applyAlignment="1" applyProtection="1">
      <alignment horizontal="center"/>
      <protection/>
    </xf>
    <xf numFmtId="0" fontId="1" fillId="38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5" fillId="37" borderId="16" xfId="0" applyFont="1" applyFill="1" applyBorder="1" applyAlignment="1" applyProtection="1">
      <alignment horizontal="center"/>
      <protection/>
    </xf>
    <xf numFmtId="0" fontId="5" fillId="37" borderId="17" xfId="0" applyFont="1" applyFill="1" applyBorder="1" applyAlignment="1" applyProtection="1">
      <alignment horizontal="center"/>
      <protection/>
    </xf>
    <xf numFmtId="0" fontId="5" fillId="35" borderId="15" xfId="0" applyFont="1" applyFill="1" applyBorder="1" applyAlignment="1" applyProtection="1">
      <alignment horizontal="center"/>
      <protection/>
    </xf>
    <xf numFmtId="2" fontId="5" fillId="35" borderId="14" xfId="0" applyNumberFormat="1" applyFont="1" applyFill="1" applyBorder="1" applyAlignment="1" applyProtection="1">
      <alignment/>
      <protection/>
    </xf>
    <xf numFmtId="2" fontId="5" fillId="35" borderId="17" xfId="0" applyNumberFormat="1" applyFont="1" applyFill="1" applyBorder="1" applyAlignment="1" applyProtection="1">
      <alignment/>
      <protection/>
    </xf>
    <xf numFmtId="0" fontId="5" fillId="35" borderId="17" xfId="0" applyFont="1" applyFill="1" applyBorder="1" applyAlignment="1" applyProtection="1">
      <alignment/>
      <protection/>
    </xf>
    <xf numFmtId="0" fontId="5" fillId="35" borderId="15" xfId="0" applyFont="1" applyFill="1" applyBorder="1" applyAlignment="1" applyProtection="1">
      <alignment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view="pageBreakPreview" zoomScaleNormal="120" zoomScaleSheetLayoutView="100" workbookViewId="0" topLeftCell="A117">
      <selection activeCell="F149" sqref="F149"/>
    </sheetView>
  </sheetViews>
  <sheetFormatPr defaultColWidth="9.140625" defaultRowHeight="15"/>
  <cols>
    <col min="1" max="1" width="15.00390625" style="0" customWidth="1"/>
    <col min="2" max="2" width="27.7109375" style="0" customWidth="1"/>
    <col min="3" max="4" width="15.00390625" style="0" customWidth="1"/>
    <col min="5" max="5" width="51.7109375" style="0" customWidth="1"/>
    <col min="6" max="8" width="10.00390625" style="0" customWidth="1"/>
    <col min="9" max="11" width="15.00390625" style="0" customWidth="1"/>
    <col min="12" max="19" width="9.140625" style="0" customWidth="1"/>
    <col min="20" max="22" width="12.28125" style="0" customWidth="1"/>
  </cols>
  <sheetData>
    <row r="1" spans="1:19" ht="43.5" customHeight="1">
      <c r="A1" s="36" t="s">
        <v>321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0.25" customHeight="1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" ht="30" customHeight="1">
      <c r="A3" s="1" t="s">
        <v>1</v>
      </c>
      <c r="B3" s="1" t="s">
        <v>2</v>
      </c>
    </row>
    <row r="4" spans="1:22" ht="15" customHeight="1">
      <c r="A4" s="38" t="s">
        <v>3</v>
      </c>
      <c r="B4" s="39"/>
      <c r="C4" s="40" t="s">
        <v>4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20"/>
      <c r="V4" s="20"/>
    </row>
    <row r="5" spans="1:22" ht="79.5" customHeight="1">
      <c r="A5" s="3" t="s">
        <v>5</v>
      </c>
      <c r="B5" s="3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4" t="s">
        <v>14</v>
      </c>
      <c r="K5" s="4" t="s">
        <v>15</v>
      </c>
      <c r="L5" s="4" t="s">
        <v>16</v>
      </c>
      <c r="M5" s="4" t="s">
        <v>17</v>
      </c>
      <c r="N5" s="4" t="s">
        <v>18</v>
      </c>
      <c r="O5" s="4" t="s">
        <v>19</v>
      </c>
      <c r="P5" s="4" t="s">
        <v>20</v>
      </c>
      <c r="Q5" s="4" t="s">
        <v>21</v>
      </c>
      <c r="R5" s="4" t="s">
        <v>22</v>
      </c>
      <c r="S5" s="5" t="s">
        <v>23</v>
      </c>
      <c r="T5" s="6" t="s">
        <v>288</v>
      </c>
      <c r="U5" s="6" t="s">
        <v>322</v>
      </c>
      <c r="V5" s="23" t="s">
        <v>323</v>
      </c>
    </row>
    <row r="6" spans="1:22" s="2" customFormat="1" ht="18.75" customHeight="1">
      <c r="A6" s="34" t="s">
        <v>296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9">
        <f>T7</f>
        <v>0</v>
      </c>
      <c r="U6" s="21"/>
      <c r="V6" s="21"/>
    </row>
    <row r="7" spans="1:22" s="18" customFormat="1" ht="13.5" customHeight="1">
      <c r="A7" s="11">
        <v>2023</v>
      </c>
      <c r="B7" s="11" t="s">
        <v>150</v>
      </c>
      <c r="C7" s="11">
        <v>681110112</v>
      </c>
      <c r="D7" s="11" t="s">
        <v>151</v>
      </c>
      <c r="E7" s="11" t="s">
        <v>152</v>
      </c>
      <c r="F7" s="11">
        <v>1</v>
      </c>
      <c r="G7" s="11" t="s">
        <v>153</v>
      </c>
      <c r="H7" s="11">
        <f>720-720</f>
        <v>0</v>
      </c>
      <c r="I7" s="11"/>
      <c r="J7" s="11" t="s">
        <v>154</v>
      </c>
      <c r="K7" s="11"/>
      <c r="L7" s="11" t="s">
        <v>155</v>
      </c>
      <c r="M7" s="11" t="s">
        <v>157</v>
      </c>
      <c r="N7" s="11" t="s">
        <v>65</v>
      </c>
      <c r="O7" s="11" t="s">
        <v>157</v>
      </c>
      <c r="P7" s="11"/>
      <c r="Q7" s="11"/>
      <c r="R7" s="11" t="s">
        <v>156</v>
      </c>
      <c r="S7" s="12" t="s">
        <v>158</v>
      </c>
      <c r="T7" s="13">
        <f>+F7*H7</f>
        <v>0</v>
      </c>
      <c r="U7" s="13"/>
      <c r="V7" s="13"/>
    </row>
    <row r="8" spans="1:22" s="18" customFormat="1" ht="24.75" customHeight="1">
      <c r="A8" s="41" t="s">
        <v>297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9">
        <f>SUM(T9:T38)</f>
        <v>730700</v>
      </c>
      <c r="U8" s="22"/>
      <c r="V8" s="22"/>
    </row>
    <row r="9" spans="1:22" s="18" customFormat="1" ht="13.5" customHeight="1">
      <c r="A9" s="11">
        <v>2023</v>
      </c>
      <c r="B9" s="25" t="s">
        <v>287</v>
      </c>
      <c r="C9" s="25">
        <v>721120011</v>
      </c>
      <c r="D9" s="25" t="s">
        <v>151</v>
      </c>
      <c r="E9" s="25" t="s">
        <v>27</v>
      </c>
      <c r="F9" s="25">
        <v>1</v>
      </c>
      <c r="G9" s="25" t="s">
        <v>143</v>
      </c>
      <c r="H9" s="25">
        <f>87000+5000</f>
        <v>92000</v>
      </c>
      <c r="I9" s="25" t="s">
        <v>154</v>
      </c>
      <c r="J9" s="25" t="s">
        <v>154</v>
      </c>
      <c r="K9" s="25" t="s">
        <v>154</v>
      </c>
      <c r="L9" s="11"/>
      <c r="M9" s="25" t="s">
        <v>157</v>
      </c>
      <c r="N9" s="25" t="s">
        <v>27</v>
      </c>
      <c r="O9" s="11" t="s">
        <v>157</v>
      </c>
      <c r="P9" s="11"/>
      <c r="Q9" s="11"/>
      <c r="R9" s="25" t="s">
        <v>180</v>
      </c>
      <c r="S9" s="25" t="s">
        <v>158</v>
      </c>
      <c r="T9" s="13">
        <f>+F9*H9</f>
        <v>92000</v>
      </c>
      <c r="U9" s="13">
        <f>18000+1585+26400</f>
        <v>45985</v>
      </c>
      <c r="V9" s="13">
        <f aca="true" t="shared" si="0" ref="V9:V14">T9-U9</f>
        <v>46015</v>
      </c>
    </row>
    <row r="10" spans="1:22" s="18" customFormat="1" ht="13.5" customHeight="1">
      <c r="A10" s="11">
        <v>2023</v>
      </c>
      <c r="B10" s="25" t="s">
        <v>198</v>
      </c>
      <c r="C10" s="25">
        <v>713340113</v>
      </c>
      <c r="D10" s="25" t="s">
        <v>151</v>
      </c>
      <c r="E10" s="25" t="s">
        <v>199</v>
      </c>
      <c r="F10" s="25">
        <v>1</v>
      </c>
      <c r="G10" s="25" t="s">
        <v>143</v>
      </c>
      <c r="H10" s="25">
        <v>25000</v>
      </c>
      <c r="I10" s="25" t="s">
        <v>154</v>
      </c>
      <c r="J10" s="25"/>
      <c r="K10" s="25"/>
      <c r="L10" s="11"/>
      <c r="M10" s="25" t="s">
        <v>157</v>
      </c>
      <c r="N10" s="25" t="s">
        <v>69</v>
      </c>
      <c r="O10" s="11" t="s">
        <v>157</v>
      </c>
      <c r="P10" s="11"/>
      <c r="Q10" s="11"/>
      <c r="R10" s="25" t="s">
        <v>180</v>
      </c>
      <c r="S10" s="25" t="s">
        <v>158</v>
      </c>
      <c r="T10" s="13">
        <f>+F10*H10</f>
        <v>25000</v>
      </c>
      <c r="U10" s="13">
        <v>22750.82</v>
      </c>
      <c r="V10" s="13">
        <f t="shared" si="0"/>
        <v>2249.1800000000003</v>
      </c>
    </row>
    <row r="11" spans="1:22" s="18" customFormat="1" ht="13.5" customHeight="1">
      <c r="A11" s="11">
        <v>2023</v>
      </c>
      <c r="B11" s="25" t="s">
        <v>159</v>
      </c>
      <c r="C11" s="25">
        <v>891210913</v>
      </c>
      <c r="D11" s="25" t="s">
        <v>151</v>
      </c>
      <c r="E11" s="25" t="s">
        <v>160</v>
      </c>
      <c r="F11" s="25">
        <v>1</v>
      </c>
      <c r="G11" s="25" t="s">
        <v>143</v>
      </c>
      <c r="H11" s="25">
        <v>5700</v>
      </c>
      <c r="I11" s="25" t="s">
        <v>154</v>
      </c>
      <c r="J11" s="25"/>
      <c r="K11" s="25"/>
      <c r="L11" s="11" t="s">
        <v>155</v>
      </c>
      <c r="M11" s="25" t="s">
        <v>157</v>
      </c>
      <c r="N11" s="25" t="s">
        <v>65</v>
      </c>
      <c r="O11" s="11" t="s">
        <v>157</v>
      </c>
      <c r="P11" s="11"/>
      <c r="Q11" s="11"/>
      <c r="R11" s="25" t="s">
        <v>156</v>
      </c>
      <c r="S11" s="25" t="s">
        <v>158</v>
      </c>
      <c r="T11" s="13">
        <f>+F11*H11</f>
        <v>5700</v>
      </c>
      <c r="U11" s="13">
        <v>5280</v>
      </c>
      <c r="V11" s="13">
        <f t="shared" si="0"/>
        <v>420</v>
      </c>
    </row>
    <row r="12" spans="1:22" s="14" customFormat="1" ht="13.5" customHeight="1">
      <c r="A12" s="11">
        <v>2023</v>
      </c>
      <c r="B12" s="28" t="s">
        <v>161</v>
      </c>
      <c r="C12" s="28">
        <v>852500021</v>
      </c>
      <c r="D12" s="28" t="s">
        <v>151</v>
      </c>
      <c r="E12" s="28" t="s">
        <v>162</v>
      </c>
      <c r="F12" s="28">
        <v>1</v>
      </c>
      <c r="G12" s="28" t="s">
        <v>143</v>
      </c>
      <c r="H12" s="28">
        <f>282800-80000</f>
        <v>202800</v>
      </c>
      <c r="I12" s="28"/>
      <c r="J12" s="28" t="s">
        <v>154</v>
      </c>
      <c r="K12" s="28"/>
      <c r="L12" s="11" t="s">
        <v>155</v>
      </c>
      <c r="M12" s="28" t="s">
        <v>165</v>
      </c>
      <c r="N12" s="28" t="s">
        <v>37</v>
      </c>
      <c r="O12" s="11" t="s">
        <v>157</v>
      </c>
      <c r="P12" s="11"/>
      <c r="Q12" s="11"/>
      <c r="R12" s="28" t="s">
        <v>156</v>
      </c>
      <c r="S12" s="28" t="s">
        <v>158</v>
      </c>
      <c r="T12" s="13">
        <f aca="true" t="shared" si="1" ref="T12:T59">+F12*H12</f>
        <v>202800</v>
      </c>
      <c r="U12" s="13">
        <v>145109.28</v>
      </c>
      <c r="V12" s="13">
        <f t="shared" si="0"/>
        <v>57690.72</v>
      </c>
    </row>
    <row r="13" spans="1:22" s="14" customFormat="1" ht="13.5" customHeight="1">
      <c r="A13" s="11">
        <v>2023</v>
      </c>
      <c r="B13" s="28" t="s">
        <v>163</v>
      </c>
      <c r="C13" s="28">
        <v>853300012</v>
      </c>
      <c r="D13" s="28" t="s">
        <v>151</v>
      </c>
      <c r="E13" s="28" t="s">
        <v>164</v>
      </c>
      <c r="F13" s="28">
        <v>1</v>
      </c>
      <c r="G13" s="28" t="s">
        <v>143</v>
      </c>
      <c r="H13" s="28">
        <v>42000</v>
      </c>
      <c r="I13" s="28" t="s">
        <v>154</v>
      </c>
      <c r="J13" s="28" t="s">
        <v>154</v>
      </c>
      <c r="K13" s="28"/>
      <c r="L13" s="11" t="s">
        <v>155</v>
      </c>
      <c r="M13" s="28" t="s">
        <v>165</v>
      </c>
      <c r="N13" s="28" t="s">
        <v>37</v>
      </c>
      <c r="O13" s="11" t="s">
        <v>157</v>
      </c>
      <c r="P13" s="11"/>
      <c r="Q13" s="11"/>
      <c r="R13" s="28" t="s">
        <v>156</v>
      </c>
      <c r="S13" s="28" t="s">
        <v>158</v>
      </c>
      <c r="T13" s="13">
        <f t="shared" si="1"/>
        <v>42000</v>
      </c>
      <c r="U13" s="13">
        <f>3499.77+3160.85+3141.15+732.94+29895.75</f>
        <v>40430.46</v>
      </c>
      <c r="V13" s="13">
        <f t="shared" si="0"/>
        <v>1569.5400000000009</v>
      </c>
    </row>
    <row r="14" spans="1:22" s="14" customFormat="1" ht="13.5" customHeight="1">
      <c r="A14" s="11">
        <v>2023</v>
      </c>
      <c r="B14" s="28" t="s">
        <v>166</v>
      </c>
      <c r="C14" s="28">
        <v>873400031</v>
      </c>
      <c r="D14" s="28" t="s">
        <v>151</v>
      </c>
      <c r="E14" s="28" t="s">
        <v>167</v>
      </c>
      <c r="F14" s="28">
        <v>1</v>
      </c>
      <c r="G14" s="28" t="s">
        <v>143</v>
      </c>
      <c r="H14" s="28">
        <v>6300</v>
      </c>
      <c r="I14" s="28"/>
      <c r="J14" s="28" t="s">
        <v>154</v>
      </c>
      <c r="K14" s="28"/>
      <c r="L14" s="11" t="s">
        <v>155</v>
      </c>
      <c r="M14" s="28" t="s">
        <v>157</v>
      </c>
      <c r="N14" s="28" t="s">
        <v>65</v>
      </c>
      <c r="O14" s="11" t="s">
        <v>157</v>
      </c>
      <c r="P14" s="11"/>
      <c r="Q14" s="11"/>
      <c r="R14" s="28" t="s">
        <v>156</v>
      </c>
      <c r="S14" s="28" t="s">
        <v>158</v>
      </c>
      <c r="T14" s="13">
        <f t="shared" si="1"/>
        <v>6300</v>
      </c>
      <c r="U14" s="13">
        <v>4735</v>
      </c>
      <c r="V14" s="13">
        <f t="shared" si="0"/>
        <v>1565</v>
      </c>
    </row>
    <row r="15" spans="1:22" s="14" customFormat="1" ht="13.5" customHeight="1">
      <c r="A15" s="11">
        <v>2023</v>
      </c>
      <c r="B15" s="28" t="s">
        <v>168</v>
      </c>
      <c r="C15" s="28">
        <v>541210015</v>
      </c>
      <c r="D15" s="28" t="s">
        <v>169</v>
      </c>
      <c r="E15" s="28" t="s">
        <v>170</v>
      </c>
      <c r="F15" s="28">
        <v>1</v>
      </c>
      <c r="G15" s="28" t="s">
        <v>143</v>
      </c>
      <c r="H15" s="28">
        <f>13000-6700-6300</f>
        <v>0</v>
      </c>
      <c r="I15" s="28"/>
      <c r="J15" s="28"/>
      <c r="K15" s="28" t="s">
        <v>154</v>
      </c>
      <c r="L15" s="11" t="s">
        <v>171</v>
      </c>
      <c r="M15" s="28" t="s">
        <v>157</v>
      </c>
      <c r="N15" s="24" t="s">
        <v>65</v>
      </c>
      <c r="O15" s="11" t="s">
        <v>157</v>
      </c>
      <c r="P15" s="11"/>
      <c r="Q15" s="11"/>
      <c r="R15" s="28" t="s">
        <v>156</v>
      </c>
      <c r="S15" s="28" t="s">
        <v>158</v>
      </c>
      <c r="T15" s="13">
        <f t="shared" si="1"/>
        <v>0</v>
      </c>
      <c r="U15" s="13"/>
      <c r="V15" s="13"/>
    </row>
    <row r="16" spans="1:22" s="27" customFormat="1" ht="13.5" customHeight="1">
      <c r="A16" s="11">
        <v>2023</v>
      </c>
      <c r="B16" s="28" t="s">
        <v>168</v>
      </c>
      <c r="C16" s="28">
        <v>547900413</v>
      </c>
      <c r="D16" s="24" t="s">
        <v>151</v>
      </c>
      <c r="E16" s="24" t="s">
        <v>172</v>
      </c>
      <c r="F16" s="28">
        <v>1</v>
      </c>
      <c r="G16" s="24" t="s">
        <v>143</v>
      </c>
      <c r="H16" s="28">
        <f>6300-6300+6300</f>
        <v>6300</v>
      </c>
      <c r="I16" s="24"/>
      <c r="J16" s="24" t="s">
        <v>154</v>
      </c>
      <c r="K16" s="24" t="s">
        <v>154</v>
      </c>
      <c r="L16" s="26" t="s">
        <v>171</v>
      </c>
      <c r="M16" s="24" t="s">
        <v>157</v>
      </c>
      <c r="N16" s="24" t="s">
        <v>65</v>
      </c>
      <c r="O16" s="11" t="s">
        <v>157</v>
      </c>
      <c r="P16" s="26"/>
      <c r="Q16" s="26"/>
      <c r="R16" s="24" t="s">
        <v>156</v>
      </c>
      <c r="S16" s="24" t="s">
        <v>158</v>
      </c>
      <c r="T16" s="31">
        <f t="shared" si="1"/>
        <v>6300</v>
      </c>
      <c r="U16" s="31"/>
      <c r="V16" s="31"/>
    </row>
    <row r="17" spans="1:22" s="14" customFormat="1" ht="13.5" customHeight="1">
      <c r="A17" s="11">
        <v>2023</v>
      </c>
      <c r="B17" s="24" t="s">
        <v>173</v>
      </c>
      <c r="C17" s="28">
        <v>872400011</v>
      </c>
      <c r="D17" s="24" t="s">
        <v>151</v>
      </c>
      <c r="E17" s="24" t="s">
        <v>174</v>
      </c>
      <c r="F17" s="28">
        <v>1</v>
      </c>
      <c r="G17" s="24" t="s">
        <v>143</v>
      </c>
      <c r="H17" s="28">
        <v>6300</v>
      </c>
      <c r="I17" s="28"/>
      <c r="J17" s="28"/>
      <c r="K17" s="24" t="s">
        <v>154</v>
      </c>
      <c r="L17" s="11" t="s">
        <v>171</v>
      </c>
      <c r="M17" s="24" t="s">
        <v>157</v>
      </c>
      <c r="N17" s="24" t="s">
        <v>65</v>
      </c>
      <c r="O17" s="11" t="s">
        <v>157</v>
      </c>
      <c r="P17" s="11"/>
      <c r="Q17" s="11"/>
      <c r="R17" s="24" t="s">
        <v>156</v>
      </c>
      <c r="S17" s="24" t="s">
        <v>158</v>
      </c>
      <c r="T17" s="13">
        <f t="shared" si="1"/>
        <v>6300</v>
      </c>
      <c r="U17" s="13"/>
      <c r="V17" s="13"/>
    </row>
    <row r="18" spans="1:22" s="14" customFormat="1" ht="13.5" customHeight="1">
      <c r="A18" s="11">
        <v>2023</v>
      </c>
      <c r="B18" s="25" t="s">
        <v>175</v>
      </c>
      <c r="C18" s="25">
        <v>859901911</v>
      </c>
      <c r="D18" s="25" t="s">
        <v>151</v>
      </c>
      <c r="E18" s="25" t="s">
        <v>176</v>
      </c>
      <c r="F18" s="25">
        <v>1</v>
      </c>
      <c r="G18" s="25" t="s">
        <v>143</v>
      </c>
      <c r="H18" s="25">
        <f>10300-10300+6300</f>
        <v>6300</v>
      </c>
      <c r="I18" s="25" t="s">
        <v>154</v>
      </c>
      <c r="J18" s="25" t="s">
        <v>154</v>
      </c>
      <c r="K18" s="25" t="s">
        <v>154</v>
      </c>
      <c r="L18" s="11" t="s">
        <v>171</v>
      </c>
      <c r="M18" s="24" t="s">
        <v>157</v>
      </c>
      <c r="N18" s="24" t="s">
        <v>75</v>
      </c>
      <c r="O18" s="11" t="s">
        <v>157</v>
      </c>
      <c r="P18" s="11"/>
      <c r="Q18" s="11"/>
      <c r="R18" s="24" t="s">
        <v>156</v>
      </c>
      <c r="S18" s="24" t="s">
        <v>158</v>
      </c>
      <c r="T18" s="13">
        <f t="shared" si="1"/>
        <v>6300</v>
      </c>
      <c r="U18" s="13">
        <v>6180</v>
      </c>
      <c r="V18" s="13">
        <f>T18-U18</f>
        <v>120</v>
      </c>
    </row>
    <row r="19" spans="1:22" s="14" customFormat="1" ht="13.5" customHeight="1">
      <c r="A19" s="11">
        <v>2023</v>
      </c>
      <c r="B19" s="25" t="s">
        <v>175</v>
      </c>
      <c r="C19" s="25">
        <v>871520211</v>
      </c>
      <c r="D19" s="25" t="s">
        <v>151</v>
      </c>
      <c r="E19" s="25" t="s">
        <v>177</v>
      </c>
      <c r="F19" s="25">
        <v>1</v>
      </c>
      <c r="G19" s="25" t="s">
        <v>143</v>
      </c>
      <c r="H19" s="25">
        <f>6200-6200</f>
        <v>0</v>
      </c>
      <c r="I19" s="25" t="s">
        <v>154</v>
      </c>
      <c r="J19" s="25"/>
      <c r="K19" s="25"/>
      <c r="L19" s="11" t="s">
        <v>171</v>
      </c>
      <c r="M19" s="24" t="s">
        <v>157</v>
      </c>
      <c r="N19" s="24" t="s">
        <v>65</v>
      </c>
      <c r="O19" s="11" t="s">
        <v>157</v>
      </c>
      <c r="P19" s="11"/>
      <c r="Q19" s="11"/>
      <c r="R19" s="24" t="s">
        <v>156</v>
      </c>
      <c r="S19" s="24" t="s">
        <v>158</v>
      </c>
      <c r="T19" s="13">
        <f t="shared" si="1"/>
        <v>0</v>
      </c>
      <c r="U19" s="13"/>
      <c r="V19" s="13"/>
    </row>
    <row r="20" spans="1:22" s="27" customFormat="1" ht="13.5" customHeight="1">
      <c r="A20" s="11">
        <v>2023</v>
      </c>
      <c r="B20" s="24" t="s">
        <v>178</v>
      </c>
      <c r="C20" s="28">
        <v>871410011</v>
      </c>
      <c r="D20" s="24" t="s">
        <v>151</v>
      </c>
      <c r="E20" s="24" t="s">
        <v>179</v>
      </c>
      <c r="F20" s="28">
        <v>1</v>
      </c>
      <c r="G20" s="24" t="s">
        <v>143</v>
      </c>
      <c r="H20" s="28">
        <f>66000+15300</f>
        <v>81300</v>
      </c>
      <c r="I20" s="24" t="s">
        <v>154</v>
      </c>
      <c r="J20" s="28"/>
      <c r="K20" s="24" t="s">
        <v>154</v>
      </c>
      <c r="L20" s="26"/>
      <c r="M20" s="24" t="s">
        <v>157</v>
      </c>
      <c r="N20" s="24" t="s">
        <v>35</v>
      </c>
      <c r="O20" s="11" t="s">
        <v>157</v>
      </c>
      <c r="P20" s="26"/>
      <c r="Q20" s="26"/>
      <c r="R20" s="24" t="s">
        <v>180</v>
      </c>
      <c r="S20" s="24" t="s">
        <v>158</v>
      </c>
      <c r="T20" s="31">
        <f t="shared" si="1"/>
        <v>81300</v>
      </c>
      <c r="U20" s="31"/>
      <c r="V20" s="31"/>
    </row>
    <row r="21" spans="1:22" s="14" customFormat="1" ht="13.5" customHeight="1">
      <c r="A21" s="11">
        <v>2023</v>
      </c>
      <c r="B21" s="24" t="s">
        <v>178</v>
      </c>
      <c r="C21" s="28">
        <v>871410011</v>
      </c>
      <c r="D21" s="24" t="s">
        <v>151</v>
      </c>
      <c r="E21" s="24" t="s">
        <v>181</v>
      </c>
      <c r="F21" s="28">
        <v>1</v>
      </c>
      <c r="G21" s="24" t="s">
        <v>143</v>
      </c>
      <c r="H21" s="28">
        <f>6300-6300</f>
        <v>0</v>
      </c>
      <c r="I21" s="24"/>
      <c r="J21" s="24" t="s">
        <v>154</v>
      </c>
      <c r="K21" s="28"/>
      <c r="L21" s="11" t="s">
        <v>155</v>
      </c>
      <c r="M21" s="24" t="s">
        <v>157</v>
      </c>
      <c r="N21" s="24" t="s">
        <v>65</v>
      </c>
      <c r="O21" s="11" t="s">
        <v>157</v>
      </c>
      <c r="P21" s="11"/>
      <c r="Q21" s="11"/>
      <c r="R21" s="24" t="s">
        <v>156</v>
      </c>
      <c r="S21" s="24" t="s">
        <v>158</v>
      </c>
      <c r="T21" s="13">
        <f t="shared" si="1"/>
        <v>0</v>
      </c>
      <c r="U21" s="13"/>
      <c r="V21" s="13"/>
    </row>
    <row r="22" spans="1:22" s="14" customFormat="1" ht="13.5" customHeight="1">
      <c r="A22" s="11">
        <v>2023</v>
      </c>
      <c r="B22" s="24" t="s">
        <v>178</v>
      </c>
      <c r="C22" s="28">
        <v>871410032</v>
      </c>
      <c r="D22" s="15" t="s">
        <v>151</v>
      </c>
      <c r="E22" s="24" t="s">
        <v>182</v>
      </c>
      <c r="F22" s="28">
        <v>1</v>
      </c>
      <c r="G22" s="24" t="s">
        <v>143</v>
      </c>
      <c r="H22" s="28">
        <v>6300</v>
      </c>
      <c r="I22" s="28"/>
      <c r="J22" s="24" t="s">
        <v>154</v>
      </c>
      <c r="K22" s="28"/>
      <c r="L22" s="11" t="s">
        <v>155</v>
      </c>
      <c r="M22" s="24" t="s">
        <v>157</v>
      </c>
      <c r="N22" s="24" t="s">
        <v>65</v>
      </c>
      <c r="O22" s="11" t="s">
        <v>157</v>
      </c>
      <c r="P22" s="11"/>
      <c r="Q22" s="11"/>
      <c r="R22" s="24" t="s">
        <v>156</v>
      </c>
      <c r="S22" s="24" t="s">
        <v>158</v>
      </c>
      <c r="T22" s="13">
        <f t="shared" si="1"/>
        <v>6300</v>
      </c>
      <c r="U22" s="13"/>
      <c r="V22" s="13"/>
    </row>
    <row r="23" spans="1:22" s="14" customFormat="1" ht="13.5" customHeight="1">
      <c r="A23" s="11">
        <v>2023</v>
      </c>
      <c r="B23" s="24" t="s">
        <v>178</v>
      </c>
      <c r="C23" s="28">
        <v>872900011</v>
      </c>
      <c r="D23" s="24" t="s">
        <v>151</v>
      </c>
      <c r="E23" s="24" t="s">
        <v>183</v>
      </c>
      <c r="F23" s="28">
        <v>1</v>
      </c>
      <c r="G23" s="24" t="s">
        <v>143</v>
      </c>
      <c r="H23" s="28">
        <f>3200-3200+2500</f>
        <v>2500</v>
      </c>
      <c r="I23" s="24"/>
      <c r="J23" s="24" t="s">
        <v>154</v>
      </c>
      <c r="K23" s="24" t="s">
        <v>154</v>
      </c>
      <c r="L23" s="11" t="s">
        <v>171</v>
      </c>
      <c r="M23" s="24" t="s">
        <v>157</v>
      </c>
      <c r="N23" s="24" t="s">
        <v>65</v>
      </c>
      <c r="O23" s="11" t="s">
        <v>157</v>
      </c>
      <c r="P23" s="11"/>
      <c r="Q23" s="11"/>
      <c r="R23" s="24" t="s">
        <v>156</v>
      </c>
      <c r="S23" s="24" t="s">
        <v>158</v>
      </c>
      <c r="T23" s="31">
        <f t="shared" si="1"/>
        <v>2500</v>
      </c>
      <c r="U23" s="31">
        <v>2499.3</v>
      </c>
      <c r="V23" s="31">
        <f>T23-U23</f>
        <v>0.6999999999998181</v>
      </c>
    </row>
    <row r="24" spans="1:22" s="14" customFormat="1" ht="13.5" customHeight="1">
      <c r="A24" s="11">
        <v>2023</v>
      </c>
      <c r="B24" s="24" t="s">
        <v>184</v>
      </c>
      <c r="C24" s="28">
        <v>333800211</v>
      </c>
      <c r="D24" s="24" t="s">
        <v>185</v>
      </c>
      <c r="E24" s="24" t="s">
        <v>186</v>
      </c>
      <c r="F24" s="28">
        <v>1</v>
      </c>
      <c r="G24" s="24" t="s">
        <v>143</v>
      </c>
      <c r="H24" s="28">
        <f>17000-2000</f>
        <v>15000</v>
      </c>
      <c r="I24" s="24" t="s">
        <v>154</v>
      </c>
      <c r="J24" s="28"/>
      <c r="K24" s="24" t="s">
        <v>154</v>
      </c>
      <c r="L24" s="11"/>
      <c r="M24" s="24" t="s">
        <v>157</v>
      </c>
      <c r="N24" s="24" t="s">
        <v>35</v>
      </c>
      <c r="O24" s="11" t="s">
        <v>157</v>
      </c>
      <c r="P24" s="11"/>
      <c r="Q24" s="11"/>
      <c r="R24" s="24" t="s">
        <v>180</v>
      </c>
      <c r="S24" s="24" t="s">
        <v>158</v>
      </c>
      <c r="T24" s="31">
        <f t="shared" si="1"/>
        <v>15000</v>
      </c>
      <c r="U24" s="31">
        <f>518.64</f>
        <v>518.64</v>
      </c>
      <c r="V24" s="31">
        <f>T24-U24</f>
        <v>14481.36</v>
      </c>
    </row>
    <row r="25" spans="1:22" s="14" customFormat="1" ht="13.5" customHeight="1">
      <c r="A25" s="11">
        <v>2023</v>
      </c>
      <c r="B25" s="24" t="s">
        <v>184</v>
      </c>
      <c r="C25" s="28">
        <v>333800212</v>
      </c>
      <c r="D25" s="24" t="s">
        <v>185</v>
      </c>
      <c r="E25" s="24" t="s">
        <v>187</v>
      </c>
      <c r="F25" s="28">
        <v>1</v>
      </c>
      <c r="G25" s="24" t="s">
        <v>143</v>
      </c>
      <c r="H25" s="28">
        <f>14000-2000</f>
        <v>12000</v>
      </c>
      <c r="I25" s="24" t="s">
        <v>154</v>
      </c>
      <c r="J25" s="28"/>
      <c r="K25" s="24" t="s">
        <v>154</v>
      </c>
      <c r="L25" s="11"/>
      <c r="M25" s="24" t="s">
        <v>157</v>
      </c>
      <c r="N25" s="24" t="s">
        <v>35</v>
      </c>
      <c r="O25" s="11" t="s">
        <v>157</v>
      </c>
      <c r="P25" s="11"/>
      <c r="Q25" s="11"/>
      <c r="R25" s="24" t="s">
        <v>180</v>
      </c>
      <c r="S25" s="24" t="s">
        <v>158</v>
      </c>
      <c r="T25" s="31">
        <f t="shared" si="1"/>
        <v>12000</v>
      </c>
      <c r="U25" s="31"/>
      <c r="V25" s="31"/>
    </row>
    <row r="26" spans="1:22" s="14" customFormat="1" ht="13.5" customHeight="1">
      <c r="A26" s="11">
        <v>2023</v>
      </c>
      <c r="B26" s="24" t="s">
        <v>324</v>
      </c>
      <c r="C26" s="28">
        <v>612910013</v>
      </c>
      <c r="D26" s="24" t="s">
        <v>151</v>
      </c>
      <c r="E26" s="24" t="s">
        <v>325</v>
      </c>
      <c r="F26" s="28">
        <v>1</v>
      </c>
      <c r="G26" s="24" t="s">
        <v>143</v>
      </c>
      <c r="H26" s="28">
        <f>119000-39000</f>
        <v>80000</v>
      </c>
      <c r="I26" s="24" t="s">
        <v>154</v>
      </c>
      <c r="J26" s="24" t="s">
        <v>154</v>
      </c>
      <c r="K26" s="24" t="s">
        <v>154</v>
      </c>
      <c r="L26" s="24" t="s">
        <v>171</v>
      </c>
      <c r="M26" s="24" t="s">
        <v>157</v>
      </c>
      <c r="N26" s="24" t="s">
        <v>59</v>
      </c>
      <c r="O26" s="11" t="s">
        <v>157</v>
      </c>
      <c r="P26" s="11"/>
      <c r="Q26" s="11"/>
      <c r="R26" s="24" t="s">
        <v>156</v>
      </c>
      <c r="S26" s="24" t="s">
        <v>158</v>
      </c>
      <c r="T26" s="13">
        <f>+F26*H26</f>
        <v>80000</v>
      </c>
      <c r="U26" s="13">
        <f>6300+60000+6300+6300</f>
        <v>78900</v>
      </c>
      <c r="V26" s="13">
        <f>T26-U26</f>
        <v>1100</v>
      </c>
    </row>
    <row r="27" spans="1:22" s="14" customFormat="1" ht="12">
      <c r="A27" s="11">
        <v>2023</v>
      </c>
      <c r="B27" s="24" t="s">
        <v>188</v>
      </c>
      <c r="C27" s="28">
        <v>3212920131</v>
      </c>
      <c r="D27" s="24" t="s">
        <v>185</v>
      </c>
      <c r="E27" s="24" t="s">
        <v>310</v>
      </c>
      <c r="F27" s="28">
        <v>1</v>
      </c>
      <c r="G27" s="24" t="s">
        <v>143</v>
      </c>
      <c r="H27" s="28">
        <f>4500+2500</f>
        <v>7000</v>
      </c>
      <c r="I27" s="24" t="s">
        <v>154</v>
      </c>
      <c r="J27" s="28"/>
      <c r="K27" s="24" t="s">
        <v>154</v>
      </c>
      <c r="L27" s="24" t="s">
        <v>155</v>
      </c>
      <c r="M27" s="24" t="s">
        <v>165</v>
      </c>
      <c r="N27" s="24" t="s">
        <v>37</v>
      </c>
      <c r="O27" s="11" t="s">
        <v>157</v>
      </c>
      <c r="P27" s="11"/>
      <c r="Q27" s="11"/>
      <c r="R27" s="24" t="s">
        <v>156</v>
      </c>
      <c r="S27" s="24" t="s">
        <v>158</v>
      </c>
      <c r="T27" s="13">
        <f t="shared" si="1"/>
        <v>7000</v>
      </c>
      <c r="U27" s="13">
        <v>4500</v>
      </c>
      <c r="V27" s="13">
        <f>T27-U27</f>
        <v>2500</v>
      </c>
    </row>
    <row r="28" spans="1:22" s="14" customFormat="1" ht="13.5" customHeight="1">
      <c r="A28" s="11">
        <v>2023</v>
      </c>
      <c r="B28" s="24" t="s">
        <v>188</v>
      </c>
      <c r="C28" s="28">
        <v>321290418</v>
      </c>
      <c r="D28" s="24" t="s">
        <v>185</v>
      </c>
      <c r="E28" s="24" t="s">
        <v>311</v>
      </c>
      <c r="F28" s="28">
        <v>1</v>
      </c>
      <c r="G28" s="24" t="s">
        <v>143</v>
      </c>
      <c r="H28" s="28">
        <f>3500+1500</f>
        <v>5000</v>
      </c>
      <c r="I28" s="24" t="s">
        <v>154</v>
      </c>
      <c r="J28" s="28"/>
      <c r="K28" s="24" t="s">
        <v>154</v>
      </c>
      <c r="L28" s="24" t="s">
        <v>155</v>
      </c>
      <c r="M28" s="24" t="s">
        <v>157</v>
      </c>
      <c r="N28" s="24" t="s">
        <v>65</v>
      </c>
      <c r="O28" s="11" t="s">
        <v>157</v>
      </c>
      <c r="P28" s="11"/>
      <c r="Q28" s="11"/>
      <c r="R28" s="24" t="s">
        <v>156</v>
      </c>
      <c r="S28" s="24" t="s">
        <v>158</v>
      </c>
      <c r="T28" s="13">
        <f t="shared" si="1"/>
        <v>5000</v>
      </c>
      <c r="U28" s="13">
        <v>3087.6</v>
      </c>
      <c r="V28" s="13">
        <f>T28-U28</f>
        <v>1912.4</v>
      </c>
    </row>
    <row r="29" spans="1:22" s="14" customFormat="1" ht="13.5" customHeight="1">
      <c r="A29" s="11">
        <v>2023</v>
      </c>
      <c r="B29" s="28" t="s">
        <v>189</v>
      </c>
      <c r="C29" s="28">
        <v>3611100279</v>
      </c>
      <c r="D29" s="28" t="s">
        <v>185</v>
      </c>
      <c r="E29" s="24" t="s">
        <v>190</v>
      </c>
      <c r="F29" s="28">
        <v>1</v>
      </c>
      <c r="G29" s="24" t="s">
        <v>143</v>
      </c>
      <c r="H29" s="28">
        <f>18000-9000</f>
        <v>9000</v>
      </c>
      <c r="I29" s="24"/>
      <c r="J29" s="24" t="s">
        <v>154</v>
      </c>
      <c r="K29" s="28"/>
      <c r="L29" s="24" t="s">
        <v>155</v>
      </c>
      <c r="M29" s="24" t="s">
        <v>165</v>
      </c>
      <c r="N29" s="24" t="s">
        <v>37</v>
      </c>
      <c r="O29" s="11" t="s">
        <v>157</v>
      </c>
      <c r="P29" s="11"/>
      <c r="Q29" s="11"/>
      <c r="R29" s="24" t="s">
        <v>156</v>
      </c>
      <c r="S29" s="24" t="s">
        <v>158</v>
      </c>
      <c r="T29" s="13">
        <f t="shared" si="1"/>
        <v>9000</v>
      </c>
      <c r="U29" s="13">
        <v>7781.8</v>
      </c>
      <c r="V29" s="13">
        <f>T29-U29</f>
        <v>1218.1999999999998</v>
      </c>
    </row>
    <row r="30" spans="1:22" s="14" customFormat="1" ht="13.5" customHeight="1">
      <c r="A30" s="11">
        <v>2023</v>
      </c>
      <c r="B30" s="24" t="s">
        <v>189</v>
      </c>
      <c r="C30" s="28">
        <v>491290517</v>
      </c>
      <c r="D30" s="24" t="s">
        <v>185</v>
      </c>
      <c r="E30" s="24" t="s">
        <v>191</v>
      </c>
      <c r="F30" s="28">
        <v>1</v>
      </c>
      <c r="G30" s="24" t="s">
        <v>143</v>
      </c>
      <c r="H30" s="28">
        <f>145000-45000</f>
        <v>100000</v>
      </c>
      <c r="I30" s="24" t="s">
        <v>154</v>
      </c>
      <c r="J30" s="28"/>
      <c r="K30" s="24" t="s">
        <v>154</v>
      </c>
      <c r="L30" s="28"/>
      <c r="M30" s="24" t="s">
        <v>157</v>
      </c>
      <c r="N30" s="24" t="s">
        <v>35</v>
      </c>
      <c r="O30" s="11" t="s">
        <v>157</v>
      </c>
      <c r="P30" s="11"/>
      <c r="Q30" s="11"/>
      <c r="R30" s="24" t="s">
        <v>180</v>
      </c>
      <c r="S30" s="24" t="s">
        <v>158</v>
      </c>
      <c r="T30" s="13">
        <f t="shared" si="1"/>
        <v>100000</v>
      </c>
      <c r="U30" s="13"/>
      <c r="V30" s="13"/>
    </row>
    <row r="31" spans="1:22" s="14" customFormat="1" ht="13.5" customHeight="1">
      <c r="A31" s="11">
        <v>2023</v>
      </c>
      <c r="B31" s="24" t="s">
        <v>189</v>
      </c>
      <c r="C31" s="28">
        <v>381110111</v>
      </c>
      <c r="D31" s="24" t="s">
        <v>185</v>
      </c>
      <c r="E31" s="24" t="s">
        <v>192</v>
      </c>
      <c r="F31" s="28">
        <v>1</v>
      </c>
      <c r="G31" s="24" t="s">
        <v>143</v>
      </c>
      <c r="H31" s="28">
        <f>6300-6300</f>
        <v>0</v>
      </c>
      <c r="I31" s="28"/>
      <c r="J31" s="24" t="s">
        <v>154</v>
      </c>
      <c r="K31" s="28"/>
      <c r="L31" s="24" t="s">
        <v>155</v>
      </c>
      <c r="M31" s="24" t="s">
        <v>157</v>
      </c>
      <c r="N31" s="24" t="s">
        <v>65</v>
      </c>
      <c r="O31" s="11" t="s">
        <v>157</v>
      </c>
      <c r="P31" s="11"/>
      <c r="Q31" s="11"/>
      <c r="R31" s="24" t="s">
        <v>156</v>
      </c>
      <c r="S31" s="24" t="s">
        <v>193</v>
      </c>
      <c r="T31" s="13">
        <f t="shared" si="1"/>
        <v>0</v>
      </c>
      <c r="U31" s="13"/>
      <c r="V31" s="13"/>
    </row>
    <row r="32" spans="1:22" s="14" customFormat="1" ht="13.5" customHeight="1">
      <c r="A32" s="11">
        <v>2023</v>
      </c>
      <c r="B32" s="24" t="s">
        <v>194</v>
      </c>
      <c r="C32" s="28">
        <v>3812100115</v>
      </c>
      <c r="D32" s="24" t="s">
        <v>185</v>
      </c>
      <c r="E32" s="24" t="s">
        <v>195</v>
      </c>
      <c r="F32" s="28">
        <v>1</v>
      </c>
      <c r="G32" s="24" t="s">
        <v>143</v>
      </c>
      <c r="H32" s="28">
        <f>6300-3800</f>
        <v>2500</v>
      </c>
      <c r="I32" s="28"/>
      <c r="J32" s="24"/>
      <c r="K32" s="24" t="s">
        <v>154</v>
      </c>
      <c r="L32" s="24" t="s">
        <v>155</v>
      </c>
      <c r="M32" s="24" t="s">
        <v>165</v>
      </c>
      <c r="N32" s="24" t="s">
        <v>37</v>
      </c>
      <c r="O32" s="11" t="s">
        <v>157</v>
      </c>
      <c r="P32" s="11"/>
      <c r="Q32" s="11"/>
      <c r="R32" s="24" t="s">
        <v>156</v>
      </c>
      <c r="S32" s="24" t="s">
        <v>158</v>
      </c>
      <c r="T32" s="13">
        <f t="shared" si="1"/>
        <v>2500</v>
      </c>
      <c r="U32" s="13"/>
      <c r="V32" s="13"/>
    </row>
    <row r="33" spans="1:22" s="14" customFormat="1" ht="13.5" customHeight="1">
      <c r="A33" s="11">
        <v>2023</v>
      </c>
      <c r="B33" s="24" t="s">
        <v>196</v>
      </c>
      <c r="C33" s="28">
        <v>482200031</v>
      </c>
      <c r="D33" s="24" t="s">
        <v>185</v>
      </c>
      <c r="E33" s="24" t="s">
        <v>197</v>
      </c>
      <c r="F33" s="28">
        <v>1</v>
      </c>
      <c r="G33" s="24" t="s">
        <v>143</v>
      </c>
      <c r="H33" s="28">
        <f>440-440</f>
        <v>0</v>
      </c>
      <c r="I33" s="28"/>
      <c r="J33" s="24" t="s">
        <v>154</v>
      </c>
      <c r="K33" s="28"/>
      <c r="L33" s="24" t="s">
        <v>155</v>
      </c>
      <c r="M33" s="24" t="s">
        <v>157</v>
      </c>
      <c r="N33" s="24" t="s">
        <v>65</v>
      </c>
      <c r="O33" s="11" t="s">
        <v>157</v>
      </c>
      <c r="P33" s="11"/>
      <c r="Q33" s="11"/>
      <c r="R33" s="24" t="s">
        <v>156</v>
      </c>
      <c r="S33" s="24" t="s">
        <v>158</v>
      </c>
      <c r="T33" s="13">
        <f t="shared" si="1"/>
        <v>0</v>
      </c>
      <c r="U33" s="13"/>
      <c r="V33" s="13"/>
    </row>
    <row r="34" spans="1:22" s="14" customFormat="1" ht="12">
      <c r="A34" s="11">
        <v>2023</v>
      </c>
      <c r="B34" s="24" t="s">
        <v>200</v>
      </c>
      <c r="C34" s="28">
        <v>611830011</v>
      </c>
      <c r="D34" s="24" t="s">
        <v>185</v>
      </c>
      <c r="E34" s="24" t="s">
        <v>201</v>
      </c>
      <c r="F34" s="28">
        <v>1</v>
      </c>
      <c r="G34" s="24" t="s">
        <v>143</v>
      </c>
      <c r="H34" s="28">
        <v>6300</v>
      </c>
      <c r="I34" s="24"/>
      <c r="J34" s="24" t="s">
        <v>154</v>
      </c>
      <c r="K34" s="24" t="s">
        <v>154</v>
      </c>
      <c r="L34" s="24" t="s">
        <v>155</v>
      </c>
      <c r="M34" s="24" t="s">
        <v>157</v>
      </c>
      <c r="N34" s="24" t="s">
        <v>65</v>
      </c>
      <c r="O34" s="11" t="s">
        <v>157</v>
      </c>
      <c r="P34" s="11"/>
      <c r="Q34" s="11"/>
      <c r="R34" s="24" t="s">
        <v>156</v>
      </c>
      <c r="S34" s="24" t="s">
        <v>158</v>
      </c>
      <c r="T34" s="13">
        <f t="shared" si="1"/>
        <v>6300</v>
      </c>
      <c r="U34" s="13"/>
      <c r="V34" s="13"/>
    </row>
    <row r="35" spans="1:22" s="14" customFormat="1" ht="13.5" customHeight="1">
      <c r="A35" s="11">
        <v>2023</v>
      </c>
      <c r="B35" s="24" t="s">
        <v>202</v>
      </c>
      <c r="C35" s="28">
        <v>3812100115</v>
      </c>
      <c r="D35" s="24" t="s">
        <v>185</v>
      </c>
      <c r="E35" s="24" t="s">
        <v>203</v>
      </c>
      <c r="F35" s="28">
        <v>1</v>
      </c>
      <c r="G35" s="24" t="s">
        <v>143</v>
      </c>
      <c r="H35" s="28">
        <f>30000-23700-2500</f>
        <v>3800</v>
      </c>
      <c r="I35" s="24" t="s">
        <v>154</v>
      </c>
      <c r="J35" s="28"/>
      <c r="K35" s="24" t="s">
        <v>154</v>
      </c>
      <c r="L35" s="24" t="s">
        <v>155</v>
      </c>
      <c r="M35" s="24" t="s">
        <v>165</v>
      </c>
      <c r="N35" s="24" t="s">
        <v>37</v>
      </c>
      <c r="O35" s="11" t="s">
        <v>157</v>
      </c>
      <c r="P35" s="11"/>
      <c r="Q35" s="11"/>
      <c r="R35" s="24" t="s">
        <v>156</v>
      </c>
      <c r="S35" s="24" t="s">
        <v>158</v>
      </c>
      <c r="T35" s="13">
        <f t="shared" si="1"/>
        <v>3800</v>
      </c>
      <c r="U35" s="13"/>
      <c r="V35" s="13"/>
    </row>
    <row r="36" spans="1:22" s="14" customFormat="1" ht="13.5" customHeight="1">
      <c r="A36" s="11">
        <v>2023</v>
      </c>
      <c r="B36" s="24" t="s">
        <v>258</v>
      </c>
      <c r="C36" s="28">
        <v>841310016</v>
      </c>
      <c r="D36" s="24" t="s">
        <v>151</v>
      </c>
      <c r="E36" s="28" t="s">
        <v>305</v>
      </c>
      <c r="F36" s="28">
        <v>1</v>
      </c>
      <c r="G36" s="24" t="s">
        <v>143</v>
      </c>
      <c r="H36" s="28">
        <v>1000</v>
      </c>
      <c r="I36" s="24" t="s">
        <v>154</v>
      </c>
      <c r="J36" s="28"/>
      <c r="K36" s="28"/>
      <c r="L36" s="24" t="s">
        <v>155</v>
      </c>
      <c r="M36" s="24" t="s">
        <v>157</v>
      </c>
      <c r="N36" s="24" t="s">
        <v>65</v>
      </c>
      <c r="O36" s="11" t="s">
        <v>157</v>
      </c>
      <c r="P36" s="26"/>
      <c r="Q36" s="26"/>
      <c r="R36" s="24" t="s">
        <v>156</v>
      </c>
      <c r="S36" s="24" t="s">
        <v>158</v>
      </c>
      <c r="T36" s="31">
        <f>+F36*H36</f>
        <v>1000</v>
      </c>
      <c r="U36" s="31">
        <v>470.4</v>
      </c>
      <c r="V36" s="31">
        <f>T36-U36</f>
        <v>529.6</v>
      </c>
    </row>
    <row r="37" spans="1:22" s="14" customFormat="1" ht="13.5" customHeight="1">
      <c r="A37" s="11">
        <v>2023</v>
      </c>
      <c r="B37" s="24" t="s">
        <v>328</v>
      </c>
      <c r="C37" s="28">
        <v>643350211</v>
      </c>
      <c r="D37" s="24" t="s">
        <v>151</v>
      </c>
      <c r="E37" s="25" t="s">
        <v>329</v>
      </c>
      <c r="F37" s="28">
        <v>1</v>
      </c>
      <c r="G37" s="24" t="s">
        <v>143</v>
      </c>
      <c r="H37" s="28">
        <v>6300</v>
      </c>
      <c r="I37" s="24"/>
      <c r="J37" s="24" t="s">
        <v>154</v>
      </c>
      <c r="K37" s="24" t="s">
        <v>154</v>
      </c>
      <c r="L37" s="24" t="s">
        <v>155</v>
      </c>
      <c r="M37" s="24" t="s">
        <v>157</v>
      </c>
      <c r="N37" s="24" t="s">
        <v>65</v>
      </c>
      <c r="O37" s="11" t="s">
        <v>157</v>
      </c>
      <c r="P37" s="11"/>
      <c r="Q37" s="11"/>
      <c r="R37" s="24" t="s">
        <v>156</v>
      </c>
      <c r="S37" s="24" t="s">
        <v>158</v>
      </c>
      <c r="T37" s="31">
        <f>+F37*H37</f>
        <v>6300</v>
      </c>
      <c r="U37" s="13">
        <v>5737.2</v>
      </c>
      <c r="V37" s="13">
        <f>T37-U37</f>
        <v>562.8000000000002</v>
      </c>
    </row>
    <row r="38" spans="1:22" s="14" customFormat="1" ht="13.5" customHeight="1">
      <c r="A38" s="11">
        <v>2023</v>
      </c>
      <c r="B38" s="24" t="s">
        <v>290</v>
      </c>
      <c r="C38" s="28">
        <v>491130024</v>
      </c>
      <c r="D38" s="24" t="s">
        <v>185</v>
      </c>
      <c r="E38" s="25" t="s">
        <v>320</v>
      </c>
      <c r="F38" s="28">
        <v>1</v>
      </c>
      <c r="G38" s="24" t="s">
        <v>143</v>
      </c>
      <c r="H38" s="28">
        <f>35000-35000</f>
        <v>0</v>
      </c>
      <c r="I38" s="24" t="s">
        <v>154</v>
      </c>
      <c r="J38" s="28"/>
      <c r="K38" s="28"/>
      <c r="L38" s="24" t="s">
        <v>155</v>
      </c>
      <c r="M38" s="24" t="s">
        <v>165</v>
      </c>
      <c r="N38" s="24" t="s">
        <v>37</v>
      </c>
      <c r="O38" s="11" t="s">
        <v>157</v>
      </c>
      <c r="P38" s="11"/>
      <c r="Q38" s="11"/>
      <c r="R38" s="24" t="s">
        <v>156</v>
      </c>
      <c r="S38" s="24" t="s">
        <v>158</v>
      </c>
      <c r="T38" s="13">
        <f>+F38*H38</f>
        <v>0</v>
      </c>
      <c r="U38" s="13"/>
      <c r="V38" s="13"/>
    </row>
    <row r="39" spans="1:22" s="14" customFormat="1" ht="13.5" customHeight="1">
      <c r="A39" s="34" t="s">
        <v>298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9">
        <f>SUM(T40:T59)</f>
        <v>44585</v>
      </c>
      <c r="U39" s="21"/>
      <c r="V39" s="21"/>
    </row>
    <row r="40" spans="1:22" s="14" customFormat="1" ht="13.5" customHeight="1">
      <c r="A40" s="11">
        <v>2023</v>
      </c>
      <c r="B40" s="24" t="s">
        <v>204</v>
      </c>
      <c r="C40" s="24">
        <v>439230011</v>
      </c>
      <c r="D40" s="24" t="s">
        <v>151</v>
      </c>
      <c r="E40" s="24" t="s">
        <v>205</v>
      </c>
      <c r="F40" s="24">
        <v>1</v>
      </c>
      <c r="G40" s="24" t="s">
        <v>143</v>
      </c>
      <c r="H40" s="24">
        <v>600</v>
      </c>
      <c r="I40" s="25"/>
      <c r="J40" s="25" t="s">
        <v>154</v>
      </c>
      <c r="K40" s="25"/>
      <c r="L40" s="24" t="s">
        <v>155</v>
      </c>
      <c r="M40" s="24" t="s">
        <v>157</v>
      </c>
      <c r="N40" s="24" t="s">
        <v>65</v>
      </c>
      <c r="O40" s="11" t="s">
        <v>157</v>
      </c>
      <c r="P40" s="11"/>
      <c r="Q40" s="11"/>
      <c r="R40" s="24" t="s">
        <v>156</v>
      </c>
      <c r="S40" s="24" t="s">
        <v>158</v>
      </c>
      <c r="T40" s="13">
        <f t="shared" si="1"/>
        <v>600</v>
      </c>
      <c r="U40" s="13"/>
      <c r="V40" s="13"/>
    </row>
    <row r="41" spans="1:22" s="14" customFormat="1" ht="13.5" customHeight="1">
      <c r="A41" s="11">
        <v>2023</v>
      </c>
      <c r="B41" s="24" t="s">
        <v>159</v>
      </c>
      <c r="C41" s="24">
        <v>859900021</v>
      </c>
      <c r="D41" s="24" t="s">
        <v>151</v>
      </c>
      <c r="E41" s="24" t="s">
        <v>353</v>
      </c>
      <c r="F41" s="24">
        <v>1</v>
      </c>
      <c r="G41" s="24" t="s">
        <v>143</v>
      </c>
      <c r="H41" s="24">
        <v>500</v>
      </c>
      <c r="I41" s="25"/>
      <c r="J41" s="25"/>
      <c r="K41" s="25" t="s">
        <v>154</v>
      </c>
      <c r="L41" s="24" t="s">
        <v>155</v>
      </c>
      <c r="M41" s="24" t="s">
        <v>157</v>
      </c>
      <c r="N41" s="24" t="s">
        <v>65</v>
      </c>
      <c r="O41" s="11" t="s">
        <v>157</v>
      </c>
      <c r="P41" s="11"/>
      <c r="Q41" s="11"/>
      <c r="R41" s="24" t="s">
        <v>156</v>
      </c>
      <c r="S41" s="24" t="s">
        <v>158</v>
      </c>
      <c r="T41" s="13">
        <f t="shared" si="1"/>
        <v>500</v>
      </c>
      <c r="U41" s="13"/>
      <c r="V41" s="13"/>
    </row>
    <row r="42" spans="1:22" s="14" customFormat="1" ht="13.5" customHeight="1">
      <c r="A42" s="11">
        <v>2023</v>
      </c>
      <c r="B42" s="24" t="s">
        <v>159</v>
      </c>
      <c r="C42" s="24">
        <v>979900814</v>
      </c>
      <c r="D42" s="24" t="s">
        <v>185</v>
      </c>
      <c r="E42" s="24" t="s">
        <v>331</v>
      </c>
      <c r="F42" s="24">
        <v>1</v>
      </c>
      <c r="G42" s="24" t="s">
        <v>143</v>
      </c>
      <c r="H42" s="24">
        <v>500</v>
      </c>
      <c r="I42" s="25"/>
      <c r="J42" s="25"/>
      <c r="K42" s="25" t="s">
        <v>154</v>
      </c>
      <c r="L42" s="24" t="s">
        <v>155</v>
      </c>
      <c r="M42" s="24" t="s">
        <v>157</v>
      </c>
      <c r="N42" s="24" t="s">
        <v>65</v>
      </c>
      <c r="O42" s="11" t="s">
        <v>157</v>
      </c>
      <c r="P42" s="11"/>
      <c r="Q42" s="11"/>
      <c r="R42" s="24" t="s">
        <v>156</v>
      </c>
      <c r="S42" s="24" t="s">
        <v>158</v>
      </c>
      <c r="T42" s="13">
        <f t="shared" si="1"/>
        <v>500</v>
      </c>
      <c r="U42" s="13"/>
      <c r="V42" s="13"/>
    </row>
    <row r="43" spans="1:22" s="27" customFormat="1" ht="13.5" customHeight="1">
      <c r="A43" s="26">
        <v>2023</v>
      </c>
      <c r="B43" s="25" t="s">
        <v>333</v>
      </c>
      <c r="C43" s="25">
        <v>931990311</v>
      </c>
      <c r="D43" s="25" t="s">
        <v>151</v>
      </c>
      <c r="E43" s="25" t="s">
        <v>334</v>
      </c>
      <c r="F43" s="25">
        <v>1</v>
      </c>
      <c r="G43" s="25" t="s">
        <v>143</v>
      </c>
      <c r="H43" s="25">
        <v>3000</v>
      </c>
      <c r="I43" s="25"/>
      <c r="J43" s="25"/>
      <c r="K43" s="25" t="s">
        <v>154</v>
      </c>
      <c r="L43" s="25" t="s">
        <v>155</v>
      </c>
      <c r="M43" s="25" t="s">
        <v>157</v>
      </c>
      <c r="N43" s="25" t="s">
        <v>65</v>
      </c>
      <c r="O43" s="26" t="s">
        <v>157</v>
      </c>
      <c r="P43" s="26"/>
      <c r="Q43" s="26"/>
      <c r="R43" s="25" t="s">
        <v>156</v>
      </c>
      <c r="S43" s="25" t="s">
        <v>158</v>
      </c>
      <c r="T43" s="31">
        <f t="shared" si="1"/>
        <v>3000</v>
      </c>
      <c r="U43" s="31"/>
      <c r="V43" s="31"/>
    </row>
    <row r="44" spans="1:22" s="14" customFormat="1" ht="13.5" customHeight="1">
      <c r="A44" s="11">
        <v>2023</v>
      </c>
      <c r="B44" s="24" t="s">
        <v>207</v>
      </c>
      <c r="C44" s="24">
        <v>661100011</v>
      </c>
      <c r="D44" s="25" t="s">
        <v>151</v>
      </c>
      <c r="E44" s="24" t="s">
        <v>337</v>
      </c>
      <c r="F44" s="24">
        <v>1</v>
      </c>
      <c r="G44" s="24" t="s">
        <v>143</v>
      </c>
      <c r="H44" s="24">
        <f>4000-3500</f>
        <v>500</v>
      </c>
      <c r="I44" s="25" t="s">
        <v>154</v>
      </c>
      <c r="J44" s="25" t="s">
        <v>154</v>
      </c>
      <c r="K44" s="25" t="s">
        <v>154</v>
      </c>
      <c r="L44" s="24" t="s">
        <v>155</v>
      </c>
      <c r="M44" s="24" t="s">
        <v>157</v>
      </c>
      <c r="N44" s="24" t="s">
        <v>65</v>
      </c>
      <c r="O44" s="11" t="s">
        <v>157</v>
      </c>
      <c r="P44" s="11"/>
      <c r="Q44" s="11"/>
      <c r="R44" s="24" t="s">
        <v>156</v>
      </c>
      <c r="S44" s="24" t="s">
        <v>158</v>
      </c>
      <c r="T44" s="13">
        <f t="shared" si="1"/>
        <v>500</v>
      </c>
      <c r="U44" s="13"/>
      <c r="V44" s="13"/>
    </row>
    <row r="45" spans="1:22" s="14" customFormat="1" ht="13.5" customHeight="1">
      <c r="A45" s="11">
        <v>2023</v>
      </c>
      <c r="B45" s="24" t="s">
        <v>208</v>
      </c>
      <c r="C45" s="24">
        <v>661100011</v>
      </c>
      <c r="D45" s="25" t="s">
        <v>151</v>
      </c>
      <c r="E45" s="24" t="s">
        <v>338</v>
      </c>
      <c r="F45" s="24">
        <v>1</v>
      </c>
      <c r="G45" s="24" t="s">
        <v>143</v>
      </c>
      <c r="H45" s="24">
        <v>3000</v>
      </c>
      <c r="I45" s="25" t="s">
        <v>154</v>
      </c>
      <c r="J45" s="25" t="s">
        <v>154</v>
      </c>
      <c r="K45" s="25" t="s">
        <v>154</v>
      </c>
      <c r="L45" s="24" t="s">
        <v>155</v>
      </c>
      <c r="M45" s="24" t="s">
        <v>157</v>
      </c>
      <c r="N45" s="24" t="s">
        <v>65</v>
      </c>
      <c r="O45" s="11" t="s">
        <v>157</v>
      </c>
      <c r="P45" s="11"/>
      <c r="Q45" s="11"/>
      <c r="R45" s="24" t="s">
        <v>156</v>
      </c>
      <c r="S45" s="24" t="s">
        <v>158</v>
      </c>
      <c r="T45" s="13">
        <f t="shared" si="1"/>
        <v>3000</v>
      </c>
      <c r="U45" s="13"/>
      <c r="V45" s="13"/>
    </row>
    <row r="46" spans="1:22" s="14" customFormat="1" ht="13.5" customHeight="1">
      <c r="A46" s="11">
        <v>2023</v>
      </c>
      <c r="B46" s="24" t="s">
        <v>175</v>
      </c>
      <c r="C46" s="24">
        <v>852300013</v>
      </c>
      <c r="D46" s="24" t="s">
        <v>151</v>
      </c>
      <c r="E46" s="24" t="s">
        <v>209</v>
      </c>
      <c r="F46" s="24">
        <v>1</v>
      </c>
      <c r="G46" s="24" t="s">
        <v>143</v>
      </c>
      <c r="H46" s="24">
        <v>1000</v>
      </c>
      <c r="I46" s="25"/>
      <c r="J46" s="25"/>
      <c r="K46" s="25" t="s">
        <v>154</v>
      </c>
      <c r="L46" s="24" t="s">
        <v>155</v>
      </c>
      <c r="M46" s="24" t="s">
        <v>157</v>
      </c>
      <c r="N46" s="24" t="s">
        <v>65</v>
      </c>
      <c r="O46" s="11" t="s">
        <v>157</v>
      </c>
      <c r="P46" s="11"/>
      <c r="Q46" s="11"/>
      <c r="R46" s="24" t="s">
        <v>156</v>
      </c>
      <c r="S46" s="24" t="s">
        <v>158</v>
      </c>
      <c r="T46" s="13">
        <f t="shared" si="1"/>
        <v>1000</v>
      </c>
      <c r="U46" s="13"/>
      <c r="V46" s="13"/>
    </row>
    <row r="47" spans="1:22" s="14" customFormat="1" ht="13.5" customHeight="1">
      <c r="A47" s="11">
        <v>2023</v>
      </c>
      <c r="B47" s="24" t="s">
        <v>211</v>
      </c>
      <c r="C47" s="24">
        <v>929000014</v>
      </c>
      <c r="D47" s="24" t="s">
        <v>151</v>
      </c>
      <c r="E47" s="24" t="s">
        <v>210</v>
      </c>
      <c r="F47" s="24">
        <v>1</v>
      </c>
      <c r="G47" s="24" t="s">
        <v>143</v>
      </c>
      <c r="H47" s="24">
        <v>15000</v>
      </c>
      <c r="I47" s="25"/>
      <c r="J47" s="25"/>
      <c r="K47" s="25" t="s">
        <v>154</v>
      </c>
      <c r="L47" s="24" t="s">
        <v>155</v>
      </c>
      <c r="M47" s="24" t="s">
        <v>157</v>
      </c>
      <c r="N47" s="24" t="s">
        <v>85</v>
      </c>
      <c r="O47" s="11" t="s">
        <v>157</v>
      </c>
      <c r="P47" s="11"/>
      <c r="Q47" s="11"/>
      <c r="R47" s="24" t="s">
        <v>156</v>
      </c>
      <c r="S47" s="24" t="s">
        <v>158</v>
      </c>
      <c r="T47" s="13">
        <f t="shared" si="1"/>
        <v>15000</v>
      </c>
      <c r="U47" s="13"/>
      <c r="V47" s="13"/>
    </row>
    <row r="48" spans="1:22" s="14" customFormat="1" ht="13.5" customHeight="1">
      <c r="A48" s="11">
        <v>2023</v>
      </c>
      <c r="B48" s="24" t="s">
        <v>212</v>
      </c>
      <c r="C48" s="24">
        <v>512900021</v>
      </c>
      <c r="D48" s="24" t="s">
        <v>151</v>
      </c>
      <c r="E48" s="24" t="s">
        <v>330</v>
      </c>
      <c r="F48" s="24">
        <v>1</v>
      </c>
      <c r="G48" s="24" t="s">
        <v>143</v>
      </c>
      <c r="H48" s="24">
        <f>1750-1750</f>
        <v>0</v>
      </c>
      <c r="I48" s="25"/>
      <c r="J48" s="25" t="s">
        <v>154</v>
      </c>
      <c r="K48" s="25"/>
      <c r="L48" s="24" t="s">
        <v>155</v>
      </c>
      <c r="M48" s="24" t="s">
        <v>157</v>
      </c>
      <c r="N48" s="24" t="s">
        <v>65</v>
      </c>
      <c r="O48" s="11" t="s">
        <v>157</v>
      </c>
      <c r="P48" s="11"/>
      <c r="Q48" s="11"/>
      <c r="R48" s="24" t="s">
        <v>156</v>
      </c>
      <c r="S48" s="24" t="s">
        <v>158</v>
      </c>
      <c r="T48" s="13">
        <f t="shared" si="1"/>
        <v>0</v>
      </c>
      <c r="U48" s="13"/>
      <c r="V48" s="13"/>
    </row>
    <row r="49" spans="1:22" s="14" customFormat="1" ht="13.5" customHeight="1">
      <c r="A49" s="11">
        <v>2023</v>
      </c>
      <c r="B49" s="24" t="s">
        <v>213</v>
      </c>
      <c r="C49" s="24">
        <v>881220014</v>
      </c>
      <c r="D49" s="24" t="s">
        <v>185</v>
      </c>
      <c r="E49" s="24" t="s">
        <v>336</v>
      </c>
      <c r="F49" s="24">
        <v>1</v>
      </c>
      <c r="G49" s="24" t="s">
        <v>143</v>
      </c>
      <c r="H49" s="24">
        <f>4000-600</f>
        <v>3400</v>
      </c>
      <c r="I49" s="25"/>
      <c r="J49" s="25" t="s">
        <v>154</v>
      </c>
      <c r="K49" s="25"/>
      <c r="L49" s="24" t="s">
        <v>155</v>
      </c>
      <c r="M49" s="24" t="s">
        <v>165</v>
      </c>
      <c r="N49" s="24" t="s">
        <v>37</v>
      </c>
      <c r="O49" s="11" t="s">
        <v>157</v>
      </c>
      <c r="P49" s="11"/>
      <c r="Q49" s="11"/>
      <c r="R49" s="24" t="s">
        <v>156</v>
      </c>
      <c r="S49" s="24" t="s">
        <v>158</v>
      </c>
      <c r="T49" s="13">
        <f t="shared" si="1"/>
        <v>3400</v>
      </c>
      <c r="U49" s="13">
        <v>3217.67</v>
      </c>
      <c r="V49" s="13">
        <f>T49-U49</f>
        <v>182.32999999999993</v>
      </c>
    </row>
    <row r="50" spans="1:22" s="14" customFormat="1" ht="13.5" customHeight="1">
      <c r="A50" s="11">
        <v>2023</v>
      </c>
      <c r="B50" s="24" t="s">
        <v>213</v>
      </c>
      <c r="C50" s="24">
        <v>4817001110</v>
      </c>
      <c r="D50" s="24" t="s">
        <v>185</v>
      </c>
      <c r="E50" s="24" t="s">
        <v>312</v>
      </c>
      <c r="F50" s="24">
        <v>1</v>
      </c>
      <c r="G50" s="24" t="s">
        <v>143</v>
      </c>
      <c r="H50" s="24">
        <f>4000-1100</f>
        <v>2900</v>
      </c>
      <c r="I50" s="25"/>
      <c r="J50" s="25"/>
      <c r="K50" s="25" t="s">
        <v>154</v>
      </c>
      <c r="L50" s="24" t="s">
        <v>155</v>
      </c>
      <c r="M50" s="24" t="s">
        <v>157</v>
      </c>
      <c r="N50" s="24" t="s">
        <v>65</v>
      </c>
      <c r="O50" s="11" t="s">
        <v>157</v>
      </c>
      <c r="P50" s="11"/>
      <c r="Q50" s="11"/>
      <c r="R50" s="24" t="s">
        <v>156</v>
      </c>
      <c r="S50" s="24" t="s">
        <v>158</v>
      </c>
      <c r="T50" s="13">
        <f t="shared" si="1"/>
        <v>2900</v>
      </c>
      <c r="U50" s="13">
        <v>1807</v>
      </c>
      <c r="V50" s="13">
        <f>T50-U50</f>
        <v>1093</v>
      </c>
    </row>
    <row r="51" spans="1:22" s="14" customFormat="1" ht="13.5" customHeight="1">
      <c r="A51" s="11">
        <v>2023</v>
      </c>
      <c r="B51" s="24" t="s">
        <v>213</v>
      </c>
      <c r="C51" s="24">
        <v>2823612220</v>
      </c>
      <c r="D51" s="24" t="s">
        <v>185</v>
      </c>
      <c r="E51" s="24" t="s">
        <v>313</v>
      </c>
      <c r="F51" s="24">
        <v>1</v>
      </c>
      <c r="G51" s="24" t="s">
        <v>143</v>
      </c>
      <c r="H51" s="24">
        <f>13000-6700</f>
        <v>6300</v>
      </c>
      <c r="I51" s="25"/>
      <c r="J51" s="25" t="s">
        <v>154</v>
      </c>
      <c r="K51" s="25"/>
      <c r="L51" s="24" t="s">
        <v>155</v>
      </c>
      <c r="M51" s="24" t="s">
        <v>157</v>
      </c>
      <c r="N51" s="24" t="s">
        <v>65</v>
      </c>
      <c r="O51" s="11" t="s">
        <v>157</v>
      </c>
      <c r="P51" s="11"/>
      <c r="Q51" s="11"/>
      <c r="R51" s="24" t="s">
        <v>156</v>
      </c>
      <c r="S51" s="24" t="s">
        <v>158</v>
      </c>
      <c r="T51" s="13">
        <f t="shared" si="1"/>
        <v>6300</v>
      </c>
      <c r="U51" s="13">
        <v>6232</v>
      </c>
      <c r="V51" s="13">
        <f>T51-U51</f>
        <v>68</v>
      </c>
    </row>
    <row r="52" spans="1:22" s="14" customFormat="1" ht="13.5" customHeight="1">
      <c r="A52" s="11">
        <v>2023</v>
      </c>
      <c r="B52" s="24" t="s">
        <v>213</v>
      </c>
      <c r="C52" s="24">
        <v>282500036</v>
      </c>
      <c r="D52" s="24" t="s">
        <v>185</v>
      </c>
      <c r="E52" s="24" t="s">
        <v>335</v>
      </c>
      <c r="F52" s="24">
        <v>1</v>
      </c>
      <c r="G52" s="24" t="s">
        <v>143</v>
      </c>
      <c r="H52" s="24">
        <v>4050</v>
      </c>
      <c r="I52" s="25"/>
      <c r="J52" s="25"/>
      <c r="K52" s="25" t="s">
        <v>154</v>
      </c>
      <c r="L52" s="24" t="s">
        <v>155</v>
      </c>
      <c r="M52" s="24" t="s">
        <v>157</v>
      </c>
      <c r="N52" s="24" t="s">
        <v>65</v>
      </c>
      <c r="O52" s="11" t="s">
        <v>157</v>
      </c>
      <c r="P52" s="11"/>
      <c r="Q52" s="11"/>
      <c r="R52" s="24" t="s">
        <v>156</v>
      </c>
      <c r="S52" s="24" t="s">
        <v>158</v>
      </c>
      <c r="T52" s="13">
        <f t="shared" si="1"/>
        <v>4050</v>
      </c>
      <c r="U52" s="13"/>
      <c r="V52" s="13"/>
    </row>
    <row r="53" spans="1:22" s="14" customFormat="1" ht="13.5" customHeight="1">
      <c r="A53" s="11">
        <v>2023</v>
      </c>
      <c r="B53" s="24" t="s">
        <v>214</v>
      </c>
      <c r="C53" s="24">
        <v>352901092</v>
      </c>
      <c r="D53" s="24" t="s">
        <v>185</v>
      </c>
      <c r="E53" s="24" t="s">
        <v>215</v>
      </c>
      <c r="F53" s="24">
        <v>1</v>
      </c>
      <c r="G53" s="24" t="s">
        <v>143</v>
      </c>
      <c r="H53" s="24">
        <f>6000-6000</f>
        <v>0</v>
      </c>
      <c r="I53" s="25"/>
      <c r="J53" s="25"/>
      <c r="K53" s="25" t="s">
        <v>154</v>
      </c>
      <c r="L53" s="24" t="s">
        <v>155</v>
      </c>
      <c r="M53" s="24" t="s">
        <v>157</v>
      </c>
      <c r="N53" s="24" t="s">
        <v>65</v>
      </c>
      <c r="O53" s="11" t="s">
        <v>157</v>
      </c>
      <c r="P53" s="11"/>
      <c r="Q53" s="11"/>
      <c r="R53" s="24" t="s">
        <v>156</v>
      </c>
      <c r="S53" s="24" t="s">
        <v>158</v>
      </c>
      <c r="T53" s="13">
        <f t="shared" si="1"/>
        <v>0</v>
      </c>
      <c r="U53" s="13"/>
      <c r="V53" s="13"/>
    </row>
    <row r="54" spans="1:22" s="27" customFormat="1" ht="13.5" customHeight="1">
      <c r="A54" s="26">
        <v>2023</v>
      </c>
      <c r="B54" s="25" t="s">
        <v>194</v>
      </c>
      <c r="C54" s="25">
        <v>352901091</v>
      </c>
      <c r="D54" s="25" t="s">
        <v>185</v>
      </c>
      <c r="E54" s="25" t="s">
        <v>332</v>
      </c>
      <c r="F54" s="25">
        <v>1</v>
      </c>
      <c r="G54" s="25" t="s">
        <v>143</v>
      </c>
      <c r="H54" s="25">
        <v>480</v>
      </c>
      <c r="I54" s="25"/>
      <c r="J54" s="25"/>
      <c r="K54" s="25" t="s">
        <v>154</v>
      </c>
      <c r="L54" s="25" t="s">
        <v>155</v>
      </c>
      <c r="M54" s="25" t="s">
        <v>157</v>
      </c>
      <c r="N54" s="25" t="s">
        <v>65</v>
      </c>
      <c r="O54" s="26" t="s">
        <v>157</v>
      </c>
      <c r="P54" s="26"/>
      <c r="Q54" s="26"/>
      <c r="R54" s="25" t="s">
        <v>156</v>
      </c>
      <c r="S54" s="25" t="s">
        <v>158</v>
      </c>
      <c r="T54" s="31">
        <f>+F54*H54</f>
        <v>480</v>
      </c>
      <c r="U54" s="31"/>
      <c r="V54" s="31"/>
    </row>
    <row r="55" spans="1:22" s="14" customFormat="1" ht="13.5" customHeight="1">
      <c r="A55" s="11">
        <v>2023</v>
      </c>
      <c r="B55" s="24" t="s">
        <v>196</v>
      </c>
      <c r="C55" s="24">
        <v>439230318</v>
      </c>
      <c r="D55" s="24" t="s">
        <v>185</v>
      </c>
      <c r="E55" s="24" t="s">
        <v>206</v>
      </c>
      <c r="F55" s="24">
        <v>1</v>
      </c>
      <c r="G55" s="24" t="s">
        <v>143</v>
      </c>
      <c r="H55" s="24">
        <f>1400-800</f>
        <v>600</v>
      </c>
      <c r="I55" s="25"/>
      <c r="J55" s="25"/>
      <c r="K55" s="25" t="s">
        <v>154</v>
      </c>
      <c r="L55" s="24" t="s">
        <v>155</v>
      </c>
      <c r="M55" s="24" t="s">
        <v>157</v>
      </c>
      <c r="N55" s="24" t="s">
        <v>65</v>
      </c>
      <c r="O55" s="11" t="s">
        <v>157</v>
      </c>
      <c r="P55" s="11"/>
      <c r="Q55" s="11"/>
      <c r="R55" s="24" t="s">
        <v>156</v>
      </c>
      <c r="S55" s="24" t="s">
        <v>158</v>
      </c>
      <c r="T55" s="13">
        <f>+F55*H55</f>
        <v>600</v>
      </c>
      <c r="U55" s="13"/>
      <c r="V55" s="13"/>
    </row>
    <row r="56" spans="1:22" s="14" customFormat="1" ht="13.5" customHeight="1">
      <c r="A56" s="11">
        <v>2023</v>
      </c>
      <c r="B56" s="24" t="s">
        <v>198</v>
      </c>
      <c r="C56" s="24">
        <v>713350012</v>
      </c>
      <c r="D56" s="24" t="s">
        <v>151</v>
      </c>
      <c r="E56" s="24" t="s">
        <v>216</v>
      </c>
      <c r="F56" s="24">
        <v>1</v>
      </c>
      <c r="G56" s="24" t="s">
        <v>143</v>
      </c>
      <c r="H56" s="24">
        <f>3000-500</f>
        <v>2500</v>
      </c>
      <c r="I56" s="25"/>
      <c r="J56" s="25" t="s">
        <v>154</v>
      </c>
      <c r="K56" s="25"/>
      <c r="L56" s="24" t="s">
        <v>155</v>
      </c>
      <c r="M56" s="24" t="s">
        <v>157</v>
      </c>
      <c r="N56" s="24" t="s">
        <v>65</v>
      </c>
      <c r="O56" s="11" t="s">
        <v>157</v>
      </c>
      <c r="P56" s="11"/>
      <c r="Q56" s="11"/>
      <c r="R56" s="24" t="s">
        <v>156</v>
      </c>
      <c r="S56" s="24" t="s">
        <v>158</v>
      </c>
      <c r="T56" s="13">
        <f>+F56*H56</f>
        <v>2500</v>
      </c>
      <c r="U56" s="13">
        <v>1337.76</v>
      </c>
      <c r="V56" s="13">
        <f>T56-U56</f>
        <v>1162.24</v>
      </c>
    </row>
    <row r="57" spans="1:22" s="14" customFormat="1" ht="13.5" customHeight="1">
      <c r="A57" s="11">
        <v>2023</v>
      </c>
      <c r="B57" s="24" t="s">
        <v>200</v>
      </c>
      <c r="C57" s="24">
        <v>3815003118</v>
      </c>
      <c r="D57" s="24" t="s">
        <v>185</v>
      </c>
      <c r="E57" s="24" t="s">
        <v>217</v>
      </c>
      <c r="F57" s="24">
        <v>1</v>
      </c>
      <c r="G57" s="24" t="s">
        <v>143</v>
      </c>
      <c r="H57" s="24">
        <f>405-405</f>
        <v>0</v>
      </c>
      <c r="I57" s="25" t="s">
        <v>154</v>
      </c>
      <c r="J57" s="25"/>
      <c r="K57" s="25"/>
      <c r="L57" s="24" t="s">
        <v>155</v>
      </c>
      <c r="M57" s="24" t="s">
        <v>157</v>
      </c>
      <c r="N57" s="24" t="s">
        <v>65</v>
      </c>
      <c r="O57" s="11" t="s">
        <v>157</v>
      </c>
      <c r="P57" s="11"/>
      <c r="Q57" s="11"/>
      <c r="R57" s="24" t="s">
        <v>156</v>
      </c>
      <c r="S57" s="24" t="s">
        <v>158</v>
      </c>
      <c r="T57" s="13">
        <f t="shared" si="1"/>
        <v>0</v>
      </c>
      <c r="U57" s="13"/>
      <c r="V57" s="13"/>
    </row>
    <row r="58" spans="1:22" s="14" customFormat="1" ht="13.5" customHeight="1">
      <c r="A58" s="11">
        <v>2023</v>
      </c>
      <c r="B58" s="24" t="s">
        <v>200</v>
      </c>
      <c r="C58" s="24">
        <v>4817001110</v>
      </c>
      <c r="D58" s="24" t="s">
        <v>185</v>
      </c>
      <c r="E58" s="24" t="s">
        <v>218</v>
      </c>
      <c r="F58" s="24">
        <v>1</v>
      </c>
      <c r="G58" s="24" t="s">
        <v>143</v>
      </c>
      <c r="H58" s="24">
        <f>1200-1200</f>
        <v>0</v>
      </c>
      <c r="I58" s="25" t="s">
        <v>154</v>
      </c>
      <c r="J58" s="25"/>
      <c r="K58" s="25"/>
      <c r="L58" s="24" t="s">
        <v>155</v>
      </c>
      <c r="M58" s="24" t="s">
        <v>157</v>
      </c>
      <c r="N58" s="24" t="s">
        <v>65</v>
      </c>
      <c r="O58" s="11" t="s">
        <v>157</v>
      </c>
      <c r="P58" s="11"/>
      <c r="Q58" s="11"/>
      <c r="R58" s="24" t="s">
        <v>156</v>
      </c>
      <c r="S58" s="24" t="s">
        <v>158</v>
      </c>
      <c r="T58" s="13">
        <f t="shared" si="1"/>
        <v>0</v>
      </c>
      <c r="U58" s="13"/>
      <c r="V58" s="13"/>
    </row>
    <row r="59" spans="1:22" s="14" customFormat="1" ht="13.5" customHeight="1">
      <c r="A59" s="11">
        <v>2023</v>
      </c>
      <c r="B59" s="32" t="s">
        <v>212</v>
      </c>
      <c r="C59" s="32">
        <v>512900021</v>
      </c>
      <c r="D59" s="32" t="s">
        <v>151</v>
      </c>
      <c r="E59" s="32" t="s">
        <v>352</v>
      </c>
      <c r="F59" s="32">
        <v>1</v>
      </c>
      <c r="G59" s="32" t="s">
        <v>143</v>
      </c>
      <c r="H59" s="32">
        <f>250+5</f>
        <v>255</v>
      </c>
      <c r="I59" s="33" t="s">
        <v>154</v>
      </c>
      <c r="J59" s="33"/>
      <c r="K59" s="33"/>
      <c r="L59" s="32" t="s">
        <v>155</v>
      </c>
      <c r="M59" s="32" t="s">
        <v>157</v>
      </c>
      <c r="N59" s="32" t="s">
        <v>65</v>
      </c>
      <c r="O59" s="11" t="s">
        <v>157</v>
      </c>
      <c r="P59" s="11"/>
      <c r="Q59" s="11"/>
      <c r="R59" s="32" t="s">
        <v>156</v>
      </c>
      <c r="S59" s="32" t="s">
        <v>158</v>
      </c>
      <c r="T59" s="13">
        <f t="shared" si="1"/>
        <v>255</v>
      </c>
      <c r="U59" s="13">
        <v>250</v>
      </c>
      <c r="V59" s="13">
        <f>T59-U59</f>
        <v>5</v>
      </c>
    </row>
    <row r="60" spans="1:22" s="14" customFormat="1" ht="13.5" customHeight="1">
      <c r="A60" s="34" t="s">
        <v>299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43"/>
      <c r="T60" s="44">
        <f>SUM(T61:T80)</f>
        <v>967000</v>
      </c>
      <c r="U60" s="44"/>
      <c r="V60" s="44"/>
    </row>
    <row r="61" spans="1:22" s="14" customFormat="1" ht="13.5" customHeight="1">
      <c r="A61" s="11">
        <v>2023</v>
      </c>
      <c r="B61" s="25" t="s">
        <v>219</v>
      </c>
      <c r="C61" s="29">
        <v>891211016</v>
      </c>
      <c r="D61" s="29" t="s">
        <v>185</v>
      </c>
      <c r="E61" s="29" t="s">
        <v>220</v>
      </c>
      <c r="F61" s="29">
        <v>1</v>
      </c>
      <c r="G61" s="29" t="s">
        <v>143</v>
      </c>
      <c r="H61" s="29">
        <f>7075-7075</f>
        <v>0</v>
      </c>
      <c r="I61" s="29"/>
      <c r="J61" s="29" t="s">
        <v>154</v>
      </c>
      <c r="K61" s="29"/>
      <c r="L61" s="29" t="s">
        <v>155</v>
      </c>
      <c r="M61" s="29" t="s">
        <v>157</v>
      </c>
      <c r="N61" s="29" t="s">
        <v>85</v>
      </c>
      <c r="O61" s="29" t="s">
        <v>157</v>
      </c>
      <c r="P61" s="15"/>
      <c r="Q61" s="15"/>
      <c r="R61" s="29" t="s">
        <v>156</v>
      </c>
      <c r="S61" s="29" t="s">
        <v>158</v>
      </c>
      <c r="T61" s="16">
        <f aca="true" t="shared" si="2" ref="T61:T80">+F61*H61</f>
        <v>0</v>
      </c>
      <c r="U61" s="16"/>
      <c r="V61" s="16"/>
    </row>
    <row r="62" spans="1:22" s="14" customFormat="1" ht="13.5" customHeight="1">
      <c r="A62" s="11">
        <v>2023</v>
      </c>
      <c r="B62" s="15" t="s">
        <v>221</v>
      </c>
      <c r="C62" s="15">
        <v>611650011</v>
      </c>
      <c r="D62" s="15" t="s">
        <v>185</v>
      </c>
      <c r="E62" s="15" t="s">
        <v>222</v>
      </c>
      <c r="F62" s="15">
        <v>1</v>
      </c>
      <c r="G62" s="15" t="s">
        <v>143</v>
      </c>
      <c r="H62" s="15">
        <f>15000+15000</f>
        <v>30000</v>
      </c>
      <c r="I62" s="15"/>
      <c r="J62" s="29" t="s">
        <v>154</v>
      </c>
      <c r="K62" s="15"/>
      <c r="L62" s="15" t="s">
        <v>155</v>
      </c>
      <c r="M62" s="15" t="s">
        <v>157</v>
      </c>
      <c r="N62" s="15" t="s">
        <v>85</v>
      </c>
      <c r="O62" s="15" t="s">
        <v>157</v>
      </c>
      <c r="P62" s="15"/>
      <c r="Q62" s="15"/>
      <c r="R62" s="15" t="s">
        <v>156</v>
      </c>
      <c r="S62" s="15" t="s">
        <v>158</v>
      </c>
      <c r="T62" s="16">
        <f t="shared" si="2"/>
        <v>30000</v>
      </c>
      <c r="U62" s="16">
        <v>29998.2</v>
      </c>
      <c r="V62" s="16">
        <f>T62-U62</f>
        <v>1.7999999999992724</v>
      </c>
    </row>
    <row r="63" spans="1:22" s="14" customFormat="1" ht="13.5" customHeight="1">
      <c r="A63" s="11">
        <v>2023</v>
      </c>
      <c r="B63" s="15" t="s">
        <v>196</v>
      </c>
      <c r="C63" s="15">
        <v>421901063</v>
      </c>
      <c r="D63" s="15" t="s">
        <v>185</v>
      </c>
      <c r="E63" s="15" t="s">
        <v>286</v>
      </c>
      <c r="F63" s="15">
        <v>1</v>
      </c>
      <c r="G63" s="15" t="s">
        <v>143</v>
      </c>
      <c r="H63" s="15">
        <f>40000-40000</f>
        <v>0</v>
      </c>
      <c r="I63" s="15"/>
      <c r="J63" s="29" t="s">
        <v>154</v>
      </c>
      <c r="K63" s="15"/>
      <c r="L63" s="15" t="s">
        <v>155</v>
      </c>
      <c r="M63" s="15" t="s">
        <v>157</v>
      </c>
      <c r="N63" s="15" t="s">
        <v>85</v>
      </c>
      <c r="O63" s="15" t="s">
        <v>157</v>
      </c>
      <c r="P63" s="15"/>
      <c r="Q63" s="15"/>
      <c r="R63" s="15" t="s">
        <v>156</v>
      </c>
      <c r="S63" s="15" t="s">
        <v>158</v>
      </c>
      <c r="T63" s="16">
        <f t="shared" si="2"/>
        <v>0</v>
      </c>
      <c r="U63" s="16"/>
      <c r="V63" s="16"/>
    </row>
    <row r="64" spans="1:22" s="14" customFormat="1" ht="13.5" customHeight="1">
      <c r="A64" s="11">
        <v>2023</v>
      </c>
      <c r="B64" s="15" t="s">
        <v>223</v>
      </c>
      <c r="C64" s="15">
        <v>548000014</v>
      </c>
      <c r="D64" s="15" t="s">
        <v>151</v>
      </c>
      <c r="E64" s="15" t="s">
        <v>224</v>
      </c>
      <c r="F64" s="15">
        <v>1</v>
      </c>
      <c r="G64" s="15" t="s">
        <v>143</v>
      </c>
      <c r="H64" s="15">
        <f>20000+20000</f>
        <v>40000</v>
      </c>
      <c r="I64" s="15"/>
      <c r="J64" s="29"/>
      <c r="K64" s="15" t="s">
        <v>154</v>
      </c>
      <c r="L64" s="15" t="s">
        <v>155</v>
      </c>
      <c r="M64" s="15" t="s">
        <v>157</v>
      </c>
      <c r="N64" s="15" t="s">
        <v>85</v>
      </c>
      <c r="O64" s="15" t="s">
        <v>157</v>
      </c>
      <c r="P64" s="15"/>
      <c r="Q64" s="15"/>
      <c r="R64" s="15" t="s">
        <v>156</v>
      </c>
      <c r="S64" s="15" t="s">
        <v>193</v>
      </c>
      <c r="T64" s="16">
        <f t="shared" si="2"/>
        <v>40000</v>
      </c>
      <c r="U64" s="16">
        <v>19650.4</v>
      </c>
      <c r="V64" s="16">
        <f>T64-U64</f>
        <v>20349.6</v>
      </c>
    </row>
    <row r="65" spans="1:22" s="27" customFormat="1" ht="13.5" customHeight="1">
      <c r="A65" s="26">
        <v>2023</v>
      </c>
      <c r="B65" s="29" t="s">
        <v>238</v>
      </c>
      <c r="C65" s="29">
        <v>532900011</v>
      </c>
      <c r="D65" s="29" t="s">
        <v>169</v>
      </c>
      <c r="E65" s="29" t="s">
        <v>226</v>
      </c>
      <c r="F65" s="29">
        <v>1</v>
      </c>
      <c r="G65" s="29" t="s">
        <v>143</v>
      </c>
      <c r="H65" s="29">
        <f>23000-23000</f>
        <v>0</v>
      </c>
      <c r="I65" s="29"/>
      <c r="J65" s="29" t="s">
        <v>154</v>
      </c>
      <c r="K65" s="29"/>
      <c r="L65" s="29" t="s">
        <v>171</v>
      </c>
      <c r="M65" s="29" t="s">
        <v>157</v>
      </c>
      <c r="N65" s="29" t="s">
        <v>75</v>
      </c>
      <c r="O65" s="29" t="s">
        <v>157</v>
      </c>
      <c r="P65" s="29"/>
      <c r="Q65" s="29"/>
      <c r="R65" s="29" t="s">
        <v>156</v>
      </c>
      <c r="S65" s="29" t="s">
        <v>193</v>
      </c>
      <c r="T65" s="30">
        <f t="shared" si="2"/>
        <v>0</v>
      </c>
      <c r="U65" s="30"/>
      <c r="V65" s="30"/>
    </row>
    <row r="66" spans="1:22" s="14" customFormat="1" ht="13.5" customHeight="1">
      <c r="A66" s="11">
        <v>2023</v>
      </c>
      <c r="B66" s="15" t="s">
        <v>238</v>
      </c>
      <c r="C66" s="15">
        <v>542100013</v>
      </c>
      <c r="D66" s="15" t="s">
        <v>169</v>
      </c>
      <c r="E66" s="15" t="s">
        <v>227</v>
      </c>
      <c r="F66" s="15">
        <v>1</v>
      </c>
      <c r="G66" s="15" t="s">
        <v>143</v>
      </c>
      <c r="H66" s="15">
        <f>200000-200000</f>
        <v>0</v>
      </c>
      <c r="I66" s="15"/>
      <c r="J66" s="29" t="s">
        <v>154</v>
      </c>
      <c r="K66" s="15"/>
      <c r="L66" s="15" t="s">
        <v>171</v>
      </c>
      <c r="M66" s="15" t="s">
        <v>157</v>
      </c>
      <c r="N66" s="15" t="s">
        <v>75</v>
      </c>
      <c r="O66" s="15" t="s">
        <v>157</v>
      </c>
      <c r="P66" s="15"/>
      <c r="Q66" s="15"/>
      <c r="R66" s="15" t="s">
        <v>156</v>
      </c>
      <c r="S66" s="15" t="s">
        <v>193</v>
      </c>
      <c r="T66" s="16">
        <f t="shared" si="2"/>
        <v>0</v>
      </c>
      <c r="U66" s="16"/>
      <c r="V66" s="16"/>
    </row>
    <row r="67" spans="1:22" s="14" customFormat="1" ht="13.5" customHeight="1">
      <c r="A67" s="11">
        <v>2023</v>
      </c>
      <c r="B67" s="15" t="s">
        <v>225</v>
      </c>
      <c r="C67" s="15">
        <v>872900611</v>
      </c>
      <c r="D67" s="15" t="s">
        <v>151</v>
      </c>
      <c r="E67" s="15" t="s">
        <v>228</v>
      </c>
      <c r="F67" s="15">
        <v>1</v>
      </c>
      <c r="G67" s="15" t="s">
        <v>143</v>
      </c>
      <c r="H67" s="15">
        <f>60000-60000</f>
        <v>0</v>
      </c>
      <c r="I67" s="15"/>
      <c r="J67" s="29" t="s">
        <v>154</v>
      </c>
      <c r="K67" s="15"/>
      <c r="L67" s="15" t="s">
        <v>155</v>
      </c>
      <c r="M67" s="15" t="s">
        <v>157</v>
      </c>
      <c r="N67" s="15" t="s">
        <v>85</v>
      </c>
      <c r="O67" s="15" t="s">
        <v>157</v>
      </c>
      <c r="P67" s="15"/>
      <c r="Q67" s="15"/>
      <c r="R67" s="15" t="s">
        <v>156</v>
      </c>
      <c r="S67" s="15" t="s">
        <v>193</v>
      </c>
      <c r="T67" s="16">
        <f t="shared" si="2"/>
        <v>0</v>
      </c>
      <c r="U67" s="16"/>
      <c r="V67" s="16"/>
    </row>
    <row r="68" spans="1:22" s="27" customFormat="1" ht="13.5" customHeight="1">
      <c r="A68" s="26">
        <v>2023</v>
      </c>
      <c r="B68" s="29" t="s">
        <v>229</v>
      </c>
      <c r="C68" s="29">
        <v>979900813</v>
      </c>
      <c r="D68" s="29" t="s">
        <v>185</v>
      </c>
      <c r="E68" s="29" t="s">
        <v>230</v>
      </c>
      <c r="F68" s="29">
        <v>1</v>
      </c>
      <c r="G68" s="29" t="s">
        <v>143</v>
      </c>
      <c r="H68" s="29">
        <f>300000-125000</f>
        <v>175000</v>
      </c>
      <c r="I68" s="29"/>
      <c r="J68" s="29" t="s">
        <v>154</v>
      </c>
      <c r="K68" s="29"/>
      <c r="L68" s="29" t="s">
        <v>155</v>
      </c>
      <c r="M68" s="29" t="s">
        <v>157</v>
      </c>
      <c r="N68" s="29" t="s">
        <v>85</v>
      </c>
      <c r="O68" s="29" t="s">
        <v>157</v>
      </c>
      <c r="P68" s="29"/>
      <c r="Q68" s="29"/>
      <c r="R68" s="29" t="s">
        <v>156</v>
      </c>
      <c r="S68" s="29" t="s">
        <v>193</v>
      </c>
      <c r="T68" s="30">
        <f t="shared" si="2"/>
        <v>175000</v>
      </c>
      <c r="U68" s="30">
        <v>174928</v>
      </c>
      <c r="V68" s="30">
        <f>T68-U68</f>
        <v>72</v>
      </c>
    </row>
    <row r="69" spans="1:22" s="14" customFormat="1" ht="13.5" customHeight="1">
      <c r="A69" s="11">
        <v>2023</v>
      </c>
      <c r="B69" s="15" t="s">
        <v>229</v>
      </c>
      <c r="C69" s="15">
        <v>4294200119</v>
      </c>
      <c r="D69" s="15" t="s">
        <v>185</v>
      </c>
      <c r="E69" s="15" t="s">
        <v>231</v>
      </c>
      <c r="F69" s="15">
        <v>1</v>
      </c>
      <c r="G69" s="15" t="s">
        <v>143</v>
      </c>
      <c r="H69" s="15">
        <f>20000-20000</f>
        <v>0</v>
      </c>
      <c r="I69" s="15"/>
      <c r="J69" s="29" t="s">
        <v>154</v>
      </c>
      <c r="K69" s="15"/>
      <c r="L69" s="15" t="s">
        <v>155</v>
      </c>
      <c r="M69" s="15" t="s">
        <v>165</v>
      </c>
      <c r="N69" s="15" t="s">
        <v>37</v>
      </c>
      <c r="O69" s="15" t="s">
        <v>157</v>
      </c>
      <c r="P69" s="15"/>
      <c r="Q69" s="15"/>
      <c r="R69" s="15" t="s">
        <v>156</v>
      </c>
      <c r="S69" s="15" t="s">
        <v>193</v>
      </c>
      <c r="T69" s="16">
        <f t="shared" si="2"/>
        <v>0</v>
      </c>
      <c r="U69" s="16"/>
      <c r="V69" s="16"/>
    </row>
    <row r="70" spans="1:22" s="14" customFormat="1" ht="13.5" customHeight="1">
      <c r="A70" s="11">
        <v>2023</v>
      </c>
      <c r="B70" s="15" t="s">
        <v>229</v>
      </c>
      <c r="C70" s="15">
        <v>374400011</v>
      </c>
      <c r="D70" s="15" t="s">
        <v>185</v>
      </c>
      <c r="E70" s="15" t="s">
        <v>232</v>
      </c>
      <c r="F70" s="15">
        <v>1</v>
      </c>
      <c r="G70" s="15" t="s">
        <v>143</v>
      </c>
      <c r="H70" s="15">
        <f>6000-6000</f>
        <v>0</v>
      </c>
      <c r="I70" s="15"/>
      <c r="J70" s="29" t="s">
        <v>154</v>
      </c>
      <c r="K70" s="15"/>
      <c r="L70" s="15" t="s">
        <v>155</v>
      </c>
      <c r="M70" s="15" t="s">
        <v>157</v>
      </c>
      <c r="N70" s="15" t="s">
        <v>65</v>
      </c>
      <c r="O70" s="15" t="s">
        <v>157</v>
      </c>
      <c r="P70" s="15"/>
      <c r="Q70" s="15"/>
      <c r="R70" s="15" t="s">
        <v>156</v>
      </c>
      <c r="S70" s="15" t="s">
        <v>193</v>
      </c>
      <c r="T70" s="16">
        <f t="shared" si="2"/>
        <v>0</v>
      </c>
      <c r="U70" s="16"/>
      <c r="V70" s="16"/>
    </row>
    <row r="71" spans="1:22" s="14" customFormat="1" ht="13.5" customHeight="1">
      <c r="A71" s="11">
        <v>2023</v>
      </c>
      <c r="B71" s="15" t="s">
        <v>229</v>
      </c>
      <c r="C71" s="15">
        <v>351100212</v>
      </c>
      <c r="D71" s="15" t="s">
        <v>185</v>
      </c>
      <c r="E71" s="15" t="s">
        <v>339</v>
      </c>
      <c r="F71" s="15">
        <v>1</v>
      </c>
      <c r="G71" s="15" t="s">
        <v>143</v>
      </c>
      <c r="H71" s="15">
        <v>20000</v>
      </c>
      <c r="I71" s="15"/>
      <c r="J71" s="29" t="s">
        <v>154</v>
      </c>
      <c r="K71" s="15" t="s">
        <v>154</v>
      </c>
      <c r="L71" s="15" t="s">
        <v>155</v>
      </c>
      <c r="M71" s="15" t="s">
        <v>157</v>
      </c>
      <c r="N71" s="15" t="s">
        <v>85</v>
      </c>
      <c r="O71" s="15" t="s">
        <v>157</v>
      </c>
      <c r="P71" s="15"/>
      <c r="Q71" s="15"/>
      <c r="R71" s="15" t="s">
        <v>156</v>
      </c>
      <c r="S71" s="15" t="s">
        <v>193</v>
      </c>
      <c r="T71" s="16">
        <f t="shared" si="2"/>
        <v>20000</v>
      </c>
      <c r="U71" s="16">
        <f>20000</f>
        <v>20000</v>
      </c>
      <c r="V71" s="16">
        <f>T71-U71</f>
        <v>0</v>
      </c>
    </row>
    <row r="72" spans="1:22" s="14" customFormat="1" ht="13.5" customHeight="1">
      <c r="A72" s="11">
        <v>2023</v>
      </c>
      <c r="B72" s="15" t="s">
        <v>233</v>
      </c>
      <c r="C72" s="15">
        <v>471732011</v>
      </c>
      <c r="D72" s="15" t="s">
        <v>185</v>
      </c>
      <c r="E72" s="15" t="s">
        <v>234</v>
      </c>
      <c r="F72" s="15">
        <v>1</v>
      </c>
      <c r="G72" s="15" t="s">
        <v>143</v>
      </c>
      <c r="H72" s="15">
        <f>17000-17000</f>
        <v>0</v>
      </c>
      <c r="I72" s="15" t="s">
        <v>154</v>
      </c>
      <c r="J72" s="29"/>
      <c r="K72" s="15"/>
      <c r="L72" s="15" t="s">
        <v>155</v>
      </c>
      <c r="M72" s="15" t="s">
        <v>157</v>
      </c>
      <c r="N72" s="15" t="s">
        <v>85</v>
      </c>
      <c r="O72" s="15" t="s">
        <v>157</v>
      </c>
      <c r="P72" s="15"/>
      <c r="Q72" s="15"/>
      <c r="R72" s="15" t="s">
        <v>156</v>
      </c>
      <c r="S72" s="15" t="s">
        <v>193</v>
      </c>
      <c r="T72" s="16">
        <f t="shared" si="2"/>
        <v>0</v>
      </c>
      <c r="U72" s="16"/>
      <c r="V72" s="16"/>
    </row>
    <row r="73" spans="1:22" s="14" customFormat="1" ht="13.5" customHeight="1">
      <c r="A73" s="11">
        <v>2023</v>
      </c>
      <c r="B73" s="15" t="s">
        <v>233</v>
      </c>
      <c r="C73" s="15">
        <v>429990215</v>
      </c>
      <c r="D73" s="15" t="s">
        <v>185</v>
      </c>
      <c r="E73" s="15" t="s">
        <v>235</v>
      </c>
      <c r="F73" s="15">
        <v>1</v>
      </c>
      <c r="G73" s="15" t="s">
        <v>143</v>
      </c>
      <c r="H73" s="15">
        <f>350000-75000</f>
        <v>275000</v>
      </c>
      <c r="I73" s="15"/>
      <c r="J73" s="29" t="s">
        <v>154</v>
      </c>
      <c r="K73" s="15"/>
      <c r="L73" s="15" t="s">
        <v>155</v>
      </c>
      <c r="M73" s="15" t="s">
        <v>157</v>
      </c>
      <c r="N73" s="15" t="s">
        <v>85</v>
      </c>
      <c r="O73" s="15" t="s">
        <v>157</v>
      </c>
      <c r="P73" s="15"/>
      <c r="Q73" s="15"/>
      <c r="R73" s="15" t="s">
        <v>156</v>
      </c>
      <c r="S73" s="15" t="s">
        <v>193</v>
      </c>
      <c r="T73" s="16">
        <f t="shared" si="2"/>
        <v>275000</v>
      </c>
      <c r="U73" s="16"/>
      <c r="V73" s="16"/>
    </row>
    <row r="74" spans="1:22" s="14" customFormat="1" ht="13.5" customHeight="1">
      <c r="A74" s="11">
        <v>2023</v>
      </c>
      <c r="B74" s="15" t="s">
        <v>233</v>
      </c>
      <c r="C74" s="15">
        <v>429990215</v>
      </c>
      <c r="D74" s="15" t="s">
        <v>185</v>
      </c>
      <c r="E74" s="15" t="s">
        <v>236</v>
      </c>
      <c r="F74" s="15">
        <v>1</v>
      </c>
      <c r="G74" s="15" t="s">
        <v>143</v>
      </c>
      <c r="H74" s="15">
        <f>9000-9000</f>
        <v>0</v>
      </c>
      <c r="I74" s="15" t="s">
        <v>154</v>
      </c>
      <c r="J74" s="29"/>
      <c r="K74" s="15"/>
      <c r="L74" s="15" t="s">
        <v>155</v>
      </c>
      <c r="M74" s="15" t="s">
        <v>157</v>
      </c>
      <c r="N74" s="15" t="s">
        <v>85</v>
      </c>
      <c r="O74" s="15" t="s">
        <v>157</v>
      </c>
      <c r="P74" s="15"/>
      <c r="Q74" s="15"/>
      <c r="R74" s="15" t="s">
        <v>156</v>
      </c>
      <c r="S74" s="15" t="s">
        <v>193</v>
      </c>
      <c r="T74" s="16">
        <f t="shared" si="2"/>
        <v>0</v>
      </c>
      <c r="U74" s="16"/>
      <c r="V74" s="16"/>
    </row>
    <row r="75" spans="1:22" s="14" customFormat="1" ht="13.5" customHeight="1">
      <c r="A75" s="11">
        <v>2023</v>
      </c>
      <c r="B75" s="15" t="s">
        <v>233</v>
      </c>
      <c r="C75" s="15">
        <v>429990215</v>
      </c>
      <c r="D75" s="15" t="s">
        <v>185</v>
      </c>
      <c r="E75" s="15" t="s">
        <v>237</v>
      </c>
      <c r="F75" s="15">
        <v>1</v>
      </c>
      <c r="G75" s="15" t="s">
        <v>143</v>
      </c>
      <c r="H75" s="15">
        <v>12000</v>
      </c>
      <c r="I75" s="15"/>
      <c r="J75" s="15"/>
      <c r="K75" s="15" t="s">
        <v>154</v>
      </c>
      <c r="L75" s="15" t="s">
        <v>155</v>
      </c>
      <c r="M75" s="15" t="s">
        <v>157</v>
      </c>
      <c r="N75" s="15" t="s">
        <v>85</v>
      </c>
      <c r="O75" s="15" t="s">
        <v>157</v>
      </c>
      <c r="P75" s="15"/>
      <c r="Q75" s="15"/>
      <c r="R75" s="15" t="s">
        <v>156</v>
      </c>
      <c r="S75" s="15" t="s">
        <v>193</v>
      </c>
      <c r="T75" s="16">
        <f t="shared" si="2"/>
        <v>12000</v>
      </c>
      <c r="U75" s="16"/>
      <c r="V75" s="16"/>
    </row>
    <row r="76" spans="1:22" s="14" customFormat="1" ht="13.5" customHeight="1">
      <c r="A76" s="11">
        <v>2023</v>
      </c>
      <c r="B76" s="15" t="s">
        <v>238</v>
      </c>
      <c r="C76" s="15">
        <v>979900815</v>
      </c>
      <c r="D76" s="15" t="s">
        <v>169</v>
      </c>
      <c r="E76" s="15" t="s">
        <v>239</v>
      </c>
      <c r="F76" s="15">
        <v>1</v>
      </c>
      <c r="G76" s="15" t="s">
        <v>143</v>
      </c>
      <c r="H76" s="15">
        <f>500000-100000</f>
        <v>400000</v>
      </c>
      <c r="I76" s="15"/>
      <c r="J76" s="15"/>
      <c r="K76" s="15" t="s">
        <v>154</v>
      </c>
      <c r="L76" s="15" t="s">
        <v>171</v>
      </c>
      <c r="M76" s="15" t="s">
        <v>157</v>
      </c>
      <c r="N76" s="15" t="s">
        <v>59</v>
      </c>
      <c r="O76" s="15" t="s">
        <v>157</v>
      </c>
      <c r="P76" s="15"/>
      <c r="Q76" s="15"/>
      <c r="R76" s="15" t="s">
        <v>156</v>
      </c>
      <c r="S76" s="15" t="s">
        <v>193</v>
      </c>
      <c r="T76" s="16">
        <f t="shared" si="2"/>
        <v>400000</v>
      </c>
      <c r="U76" s="16"/>
      <c r="V76" s="16"/>
    </row>
    <row r="77" spans="1:22" s="14" customFormat="1" ht="13.5" customHeight="1">
      <c r="A77" s="11">
        <v>2023</v>
      </c>
      <c r="B77" s="15" t="s">
        <v>200</v>
      </c>
      <c r="C77" s="15">
        <v>3699004510</v>
      </c>
      <c r="D77" s="15" t="s">
        <v>185</v>
      </c>
      <c r="E77" s="15" t="s">
        <v>240</v>
      </c>
      <c r="F77" s="15">
        <v>1</v>
      </c>
      <c r="G77" s="15" t="s">
        <v>143</v>
      </c>
      <c r="H77" s="15">
        <f>14000-14000</f>
        <v>0</v>
      </c>
      <c r="I77" s="15"/>
      <c r="J77" s="15" t="s">
        <v>154</v>
      </c>
      <c r="K77" s="15"/>
      <c r="L77" s="15" t="s">
        <v>155</v>
      </c>
      <c r="M77" s="15" t="s">
        <v>157</v>
      </c>
      <c r="N77" s="15" t="s">
        <v>85</v>
      </c>
      <c r="O77" s="15" t="s">
        <v>157</v>
      </c>
      <c r="P77" s="15"/>
      <c r="Q77" s="15"/>
      <c r="R77" s="15" t="s">
        <v>156</v>
      </c>
      <c r="S77" s="15" t="s">
        <v>193</v>
      </c>
      <c r="T77" s="16">
        <f t="shared" si="2"/>
        <v>0</v>
      </c>
      <c r="U77" s="16"/>
      <c r="V77" s="16"/>
    </row>
    <row r="78" spans="1:22" s="14" customFormat="1" ht="13.5" customHeight="1">
      <c r="A78" s="11">
        <v>2023</v>
      </c>
      <c r="B78" s="15" t="s">
        <v>238</v>
      </c>
      <c r="C78" s="15">
        <v>532900011</v>
      </c>
      <c r="D78" s="15" t="s">
        <v>169</v>
      </c>
      <c r="E78" s="15" t="s">
        <v>241</v>
      </c>
      <c r="F78" s="15">
        <v>1</v>
      </c>
      <c r="G78" s="15" t="s">
        <v>143</v>
      </c>
      <c r="H78" s="15">
        <f>600000-600000</f>
        <v>0</v>
      </c>
      <c r="I78" s="15"/>
      <c r="J78" s="15" t="s">
        <v>154</v>
      </c>
      <c r="K78" s="15" t="s">
        <v>154</v>
      </c>
      <c r="L78" s="15" t="s">
        <v>171</v>
      </c>
      <c r="M78" s="15" t="s">
        <v>157</v>
      </c>
      <c r="N78" s="15" t="s">
        <v>59</v>
      </c>
      <c r="O78" s="15" t="s">
        <v>157</v>
      </c>
      <c r="P78" s="15"/>
      <c r="Q78" s="15"/>
      <c r="R78" s="15" t="s">
        <v>156</v>
      </c>
      <c r="S78" s="15" t="s">
        <v>193</v>
      </c>
      <c r="T78" s="16">
        <f t="shared" si="2"/>
        <v>0</v>
      </c>
      <c r="U78" s="16"/>
      <c r="V78" s="16"/>
    </row>
    <row r="79" spans="1:22" s="14" customFormat="1" ht="13.5" customHeight="1">
      <c r="A79" s="11">
        <v>2023</v>
      </c>
      <c r="B79" s="15" t="s">
        <v>219</v>
      </c>
      <c r="C79" s="29">
        <v>891211013</v>
      </c>
      <c r="D79" s="15" t="s">
        <v>185</v>
      </c>
      <c r="E79" s="15" t="s">
        <v>242</v>
      </c>
      <c r="F79" s="15">
        <v>1</v>
      </c>
      <c r="G79" s="15" t="s">
        <v>143</v>
      </c>
      <c r="H79" s="15">
        <f>30000-15000</f>
        <v>15000</v>
      </c>
      <c r="I79" s="15"/>
      <c r="J79" s="15"/>
      <c r="K79" s="15" t="s">
        <v>154</v>
      </c>
      <c r="L79" s="15" t="s">
        <v>155</v>
      </c>
      <c r="M79" s="15" t="s">
        <v>157</v>
      </c>
      <c r="N79" s="15" t="s">
        <v>85</v>
      </c>
      <c r="O79" s="15" t="s">
        <v>157</v>
      </c>
      <c r="P79" s="15"/>
      <c r="Q79" s="15"/>
      <c r="R79" s="15" t="s">
        <v>156</v>
      </c>
      <c r="S79" s="15" t="s">
        <v>158</v>
      </c>
      <c r="T79" s="16">
        <f t="shared" si="2"/>
        <v>15000</v>
      </c>
      <c r="U79" s="16"/>
      <c r="V79" s="16"/>
    </row>
    <row r="80" spans="1:22" s="14" customFormat="1" ht="13.5" customHeight="1">
      <c r="A80" s="11">
        <v>2023</v>
      </c>
      <c r="B80" s="15" t="s">
        <v>200</v>
      </c>
      <c r="C80" s="15">
        <v>611890011</v>
      </c>
      <c r="D80" s="15" t="s">
        <v>185</v>
      </c>
      <c r="E80" s="15" t="s">
        <v>314</v>
      </c>
      <c r="F80" s="15">
        <v>1</v>
      </c>
      <c r="G80" s="15" t="s">
        <v>143</v>
      </c>
      <c r="H80" s="15">
        <f>6000-6000</f>
        <v>0</v>
      </c>
      <c r="I80" s="15" t="s">
        <v>154</v>
      </c>
      <c r="J80" s="15"/>
      <c r="K80" s="15"/>
      <c r="L80" s="15" t="s">
        <v>155</v>
      </c>
      <c r="M80" s="15" t="s">
        <v>157</v>
      </c>
      <c r="N80" s="15" t="s">
        <v>65</v>
      </c>
      <c r="O80" s="15" t="s">
        <v>157</v>
      </c>
      <c r="P80" s="15"/>
      <c r="Q80" s="15"/>
      <c r="R80" s="15" t="s">
        <v>156</v>
      </c>
      <c r="S80" s="15" t="s">
        <v>193</v>
      </c>
      <c r="T80" s="16">
        <f t="shared" si="2"/>
        <v>0</v>
      </c>
      <c r="U80" s="16"/>
      <c r="V80" s="16"/>
    </row>
    <row r="81" spans="1:22" s="14" customFormat="1" ht="13.5" customHeight="1">
      <c r="A81" s="34" t="s">
        <v>300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43"/>
      <c r="T81" s="44">
        <f>SUM(T82:T108)</f>
        <v>40700</v>
      </c>
      <c r="U81" s="44"/>
      <c r="V81" s="44"/>
    </row>
    <row r="82" spans="1:22" s="14" customFormat="1" ht="13.5" customHeight="1">
      <c r="A82" s="11">
        <v>2023</v>
      </c>
      <c r="B82" s="29" t="s">
        <v>219</v>
      </c>
      <c r="C82" s="29">
        <v>321991317</v>
      </c>
      <c r="D82" s="29" t="s">
        <v>185</v>
      </c>
      <c r="E82" s="29" t="s">
        <v>340</v>
      </c>
      <c r="F82" s="29">
        <v>1</v>
      </c>
      <c r="G82" s="29" t="s">
        <v>143</v>
      </c>
      <c r="H82" s="29">
        <v>3000</v>
      </c>
      <c r="I82" s="29"/>
      <c r="J82" s="29"/>
      <c r="K82" s="29" t="s">
        <v>154</v>
      </c>
      <c r="L82" s="29" t="s">
        <v>155</v>
      </c>
      <c r="M82" s="29" t="s">
        <v>157</v>
      </c>
      <c r="N82" s="29" t="s">
        <v>65</v>
      </c>
      <c r="O82" s="29" t="s">
        <v>157</v>
      </c>
      <c r="P82" s="15"/>
      <c r="Q82" s="15"/>
      <c r="R82" s="29" t="s">
        <v>156</v>
      </c>
      <c r="S82" s="29" t="s">
        <v>158</v>
      </c>
      <c r="T82" s="16">
        <f>+F82*H82</f>
        <v>3000</v>
      </c>
      <c r="U82" s="16"/>
      <c r="V82" s="16"/>
    </row>
    <row r="83" spans="1:22" s="14" customFormat="1" ht="13.5" customHeight="1">
      <c r="A83" s="11">
        <v>2023</v>
      </c>
      <c r="B83" s="29" t="s">
        <v>219</v>
      </c>
      <c r="C83" s="29">
        <v>326000049</v>
      </c>
      <c r="D83" s="29" t="s">
        <v>185</v>
      </c>
      <c r="E83" s="29" t="s">
        <v>243</v>
      </c>
      <c r="F83" s="29">
        <v>1</v>
      </c>
      <c r="G83" s="29" t="s">
        <v>143</v>
      </c>
      <c r="H83" s="29">
        <f>25000-19000</f>
        <v>6000</v>
      </c>
      <c r="I83" s="29"/>
      <c r="J83" s="29"/>
      <c r="K83" s="29" t="s">
        <v>154</v>
      </c>
      <c r="L83" s="29" t="s">
        <v>155</v>
      </c>
      <c r="M83" s="29" t="s">
        <v>157</v>
      </c>
      <c r="N83" s="29" t="s">
        <v>65</v>
      </c>
      <c r="O83" s="29" t="s">
        <v>157</v>
      </c>
      <c r="P83" s="15"/>
      <c r="Q83" s="15"/>
      <c r="R83" s="29" t="s">
        <v>156</v>
      </c>
      <c r="S83" s="29" t="s">
        <v>158</v>
      </c>
      <c r="T83" s="16">
        <f>+F83*H83</f>
        <v>6000</v>
      </c>
      <c r="U83" s="16"/>
      <c r="V83" s="16"/>
    </row>
    <row r="84" spans="1:22" s="14" customFormat="1" ht="13.5" customHeight="1">
      <c r="A84" s="11">
        <v>2023</v>
      </c>
      <c r="B84" s="15" t="s">
        <v>212</v>
      </c>
      <c r="C84" s="15">
        <v>731250014</v>
      </c>
      <c r="D84" s="29" t="s">
        <v>151</v>
      </c>
      <c r="E84" s="29" t="s">
        <v>244</v>
      </c>
      <c r="F84" s="29">
        <v>1</v>
      </c>
      <c r="G84" s="29" t="s">
        <v>143</v>
      </c>
      <c r="H84" s="29">
        <f>6000-400</f>
        <v>5600</v>
      </c>
      <c r="I84" s="15"/>
      <c r="J84" s="15" t="s">
        <v>154</v>
      </c>
      <c r="K84" s="15"/>
      <c r="L84" s="15" t="s">
        <v>155</v>
      </c>
      <c r="M84" s="15" t="s">
        <v>157</v>
      </c>
      <c r="N84" s="15" t="s">
        <v>65</v>
      </c>
      <c r="O84" s="15" t="s">
        <v>157</v>
      </c>
      <c r="P84" s="15"/>
      <c r="Q84" s="15"/>
      <c r="R84" s="15" t="s">
        <v>156</v>
      </c>
      <c r="S84" s="15" t="s">
        <v>158</v>
      </c>
      <c r="T84" s="16">
        <f>+F84*H84</f>
        <v>5600</v>
      </c>
      <c r="U84" s="16">
        <v>5478</v>
      </c>
      <c r="V84" s="16">
        <f>T84-U84</f>
        <v>122</v>
      </c>
    </row>
    <row r="85" spans="1:22" s="14" customFormat="1" ht="13.5" customHeight="1">
      <c r="A85" s="11">
        <v>2023</v>
      </c>
      <c r="B85" s="15" t="s">
        <v>200</v>
      </c>
      <c r="C85" s="15">
        <v>731250115</v>
      </c>
      <c r="D85" s="29" t="s">
        <v>185</v>
      </c>
      <c r="E85" s="29" t="s">
        <v>307</v>
      </c>
      <c r="F85" s="29">
        <v>1</v>
      </c>
      <c r="G85" s="29" t="s">
        <v>143</v>
      </c>
      <c r="H85" s="29">
        <f>6300-6300</f>
        <v>0</v>
      </c>
      <c r="I85" s="15" t="s">
        <v>154</v>
      </c>
      <c r="J85" s="15"/>
      <c r="K85" s="15"/>
      <c r="L85" s="15" t="s">
        <v>155</v>
      </c>
      <c r="M85" s="15" t="s">
        <v>157</v>
      </c>
      <c r="N85" s="15" t="s">
        <v>65</v>
      </c>
      <c r="O85" s="15" t="s">
        <v>157</v>
      </c>
      <c r="P85" s="15"/>
      <c r="Q85" s="15"/>
      <c r="R85" s="15" t="s">
        <v>156</v>
      </c>
      <c r="S85" s="15" t="s">
        <v>193</v>
      </c>
      <c r="T85" s="16">
        <f>H85</f>
        <v>0</v>
      </c>
      <c r="U85" s="16"/>
      <c r="V85" s="16"/>
    </row>
    <row r="86" spans="1:22" s="14" customFormat="1" ht="13.5" customHeight="1">
      <c r="A86" s="11">
        <v>2023</v>
      </c>
      <c r="B86" s="15" t="s">
        <v>219</v>
      </c>
      <c r="C86" s="15">
        <v>3627012110</v>
      </c>
      <c r="D86" s="15" t="s">
        <v>185</v>
      </c>
      <c r="E86" s="29" t="s">
        <v>245</v>
      </c>
      <c r="F86" s="29">
        <v>1</v>
      </c>
      <c r="G86" s="29" t="s">
        <v>143</v>
      </c>
      <c r="H86" s="29">
        <f>6300-6300</f>
        <v>0</v>
      </c>
      <c r="I86" s="29"/>
      <c r="J86" s="15" t="s">
        <v>154</v>
      </c>
      <c r="K86" s="15"/>
      <c r="L86" s="15" t="s">
        <v>155</v>
      </c>
      <c r="M86" s="15" t="s">
        <v>157</v>
      </c>
      <c r="N86" s="15" t="s">
        <v>65</v>
      </c>
      <c r="O86" s="15" t="s">
        <v>157</v>
      </c>
      <c r="P86" s="15"/>
      <c r="Q86" s="15"/>
      <c r="R86" s="15" t="s">
        <v>156</v>
      </c>
      <c r="S86" s="15" t="s">
        <v>158</v>
      </c>
      <c r="T86" s="16">
        <f aca="true" t="shared" si="3" ref="T86:T106">+F86*H86</f>
        <v>0</v>
      </c>
      <c r="U86" s="16"/>
      <c r="V86" s="16"/>
    </row>
    <row r="87" spans="1:22" s="14" customFormat="1" ht="13.5" customHeight="1">
      <c r="A87" s="11">
        <v>2023</v>
      </c>
      <c r="B87" s="15" t="s">
        <v>219</v>
      </c>
      <c r="C87" s="15">
        <v>321491312</v>
      </c>
      <c r="D87" s="15" t="s">
        <v>185</v>
      </c>
      <c r="E87" s="29" t="s">
        <v>342</v>
      </c>
      <c r="F87" s="29">
        <v>1</v>
      </c>
      <c r="G87" s="29" t="s">
        <v>143</v>
      </c>
      <c r="H87" s="29">
        <v>6500</v>
      </c>
      <c r="I87" s="29"/>
      <c r="J87" s="15"/>
      <c r="K87" s="15" t="s">
        <v>154</v>
      </c>
      <c r="L87" s="15" t="s">
        <v>155</v>
      </c>
      <c r="M87" s="15" t="s">
        <v>157</v>
      </c>
      <c r="N87" s="15" t="s">
        <v>85</v>
      </c>
      <c r="O87" s="15" t="s">
        <v>157</v>
      </c>
      <c r="P87" s="15"/>
      <c r="Q87" s="15"/>
      <c r="R87" s="15" t="s">
        <v>156</v>
      </c>
      <c r="S87" s="15" t="s">
        <v>158</v>
      </c>
      <c r="T87" s="16">
        <f t="shared" si="3"/>
        <v>6500</v>
      </c>
      <c r="U87" s="16"/>
      <c r="V87" s="16"/>
    </row>
    <row r="88" spans="1:22" s="14" customFormat="1" ht="13.5" customHeight="1">
      <c r="A88" s="11">
        <v>2023</v>
      </c>
      <c r="B88" s="15" t="s">
        <v>219</v>
      </c>
      <c r="C88" s="15">
        <v>326000032</v>
      </c>
      <c r="D88" s="15" t="s">
        <v>185</v>
      </c>
      <c r="E88" s="29" t="s">
        <v>343</v>
      </c>
      <c r="F88" s="29">
        <v>1</v>
      </c>
      <c r="G88" s="29" t="s">
        <v>143</v>
      </c>
      <c r="H88" s="29">
        <v>2550</v>
      </c>
      <c r="I88" s="29"/>
      <c r="J88" s="15"/>
      <c r="K88" s="15" t="s">
        <v>154</v>
      </c>
      <c r="L88" s="15" t="s">
        <v>155</v>
      </c>
      <c r="M88" s="15" t="s">
        <v>157</v>
      </c>
      <c r="N88" s="15" t="s">
        <v>65</v>
      </c>
      <c r="O88" s="15" t="s">
        <v>157</v>
      </c>
      <c r="P88" s="15"/>
      <c r="Q88" s="15"/>
      <c r="R88" s="15" t="s">
        <v>156</v>
      </c>
      <c r="S88" s="15" t="s">
        <v>158</v>
      </c>
      <c r="T88" s="16">
        <f t="shared" si="3"/>
        <v>2550</v>
      </c>
      <c r="U88" s="16"/>
      <c r="V88" s="16"/>
    </row>
    <row r="89" spans="1:22" s="14" customFormat="1" ht="13.5" customHeight="1">
      <c r="A89" s="11">
        <v>2023</v>
      </c>
      <c r="B89" s="15" t="s">
        <v>189</v>
      </c>
      <c r="C89" s="15">
        <v>481500217</v>
      </c>
      <c r="D89" s="15" t="s">
        <v>185</v>
      </c>
      <c r="E89" s="15" t="s">
        <v>246</v>
      </c>
      <c r="F89" s="15">
        <v>1</v>
      </c>
      <c r="G89" s="15" t="s">
        <v>143</v>
      </c>
      <c r="H89" s="15">
        <f>3000+1950</f>
        <v>4950</v>
      </c>
      <c r="I89" s="15"/>
      <c r="J89" s="15"/>
      <c r="K89" s="15" t="s">
        <v>154</v>
      </c>
      <c r="L89" s="15" t="s">
        <v>155</v>
      </c>
      <c r="M89" s="15" t="s">
        <v>157</v>
      </c>
      <c r="N89" s="15" t="s">
        <v>65</v>
      </c>
      <c r="O89" s="15" t="s">
        <v>157</v>
      </c>
      <c r="P89" s="15"/>
      <c r="Q89" s="15"/>
      <c r="R89" s="15" t="s">
        <v>156</v>
      </c>
      <c r="S89" s="15" t="s">
        <v>158</v>
      </c>
      <c r="T89" s="16">
        <f t="shared" si="3"/>
        <v>4950</v>
      </c>
      <c r="U89" s="16">
        <v>1320</v>
      </c>
      <c r="V89" s="16">
        <f>T89-U89</f>
        <v>3630</v>
      </c>
    </row>
    <row r="90" spans="1:22" s="14" customFormat="1" ht="13.5" customHeight="1">
      <c r="A90" s="11">
        <v>2023</v>
      </c>
      <c r="B90" s="15" t="s">
        <v>196</v>
      </c>
      <c r="C90" s="15">
        <v>482650111</v>
      </c>
      <c r="D90" s="15" t="s">
        <v>185</v>
      </c>
      <c r="E90" s="15" t="s">
        <v>341</v>
      </c>
      <c r="F90" s="15">
        <v>1</v>
      </c>
      <c r="G90" s="15" t="s">
        <v>143</v>
      </c>
      <c r="H90" s="15">
        <v>3500</v>
      </c>
      <c r="I90" s="15"/>
      <c r="J90" s="15"/>
      <c r="K90" s="15" t="s">
        <v>154</v>
      </c>
      <c r="L90" s="15" t="s">
        <v>155</v>
      </c>
      <c r="M90" s="15" t="s">
        <v>157</v>
      </c>
      <c r="N90" s="15" t="s">
        <v>65</v>
      </c>
      <c r="O90" s="15" t="s">
        <v>157</v>
      </c>
      <c r="P90" s="15"/>
      <c r="Q90" s="15"/>
      <c r="R90" s="15" t="s">
        <v>156</v>
      </c>
      <c r="S90" s="15" t="s">
        <v>158</v>
      </c>
      <c r="T90" s="16">
        <f t="shared" si="3"/>
        <v>3500</v>
      </c>
      <c r="U90" s="16"/>
      <c r="V90" s="16"/>
    </row>
    <row r="91" spans="1:22" s="14" customFormat="1" ht="13.5" customHeight="1">
      <c r="A91" s="11">
        <v>2023</v>
      </c>
      <c r="B91" s="15" t="s">
        <v>196</v>
      </c>
      <c r="C91" s="15">
        <v>4642000112</v>
      </c>
      <c r="D91" s="15" t="s">
        <v>185</v>
      </c>
      <c r="E91" s="15" t="s">
        <v>247</v>
      </c>
      <c r="F91" s="15">
        <v>1</v>
      </c>
      <c r="G91" s="15" t="s">
        <v>143</v>
      </c>
      <c r="H91" s="15">
        <f>1700-1700</f>
        <v>0</v>
      </c>
      <c r="I91" s="15"/>
      <c r="J91" s="15" t="s">
        <v>154</v>
      </c>
      <c r="K91" s="15"/>
      <c r="L91" s="15" t="s">
        <v>155</v>
      </c>
      <c r="M91" s="15" t="s">
        <v>157</v>
      </c>
      <c r="N91" s="15" t="s">
        <v>65</v>
      </c>
      <c r="O91" s="15" t="s">
        <v>157</v>
      </c>
      <c r="P91" s="15"/>
      <c r="Q91" s="15"/>
      <c r="R91" s="15" t="s">
        <v>156</v>
      </c>
      <c r="S91" s="15" t="s">
        <v>158</v>
      </c>
      <c r="T91" s="16">
        <f t="shared" si="3"/>
        <v>0</v>
      </c>
      <c r="U91" s="16"/>
      <c r="V91" s="16"/>
    </row>
    <row r="92" spans="1:22" s="14" customFormat="1" ht="13.5" customHeight="1">
      <c r="A92" s="11">
        <v>2023</v>
      </c>
      <c r="B92" s="15" t="s">
        <v>196</v>
      </c>
      <c r="C92" s="15">
        <v>473310011</v>
      </c>
      <c r="D92" s="15" t="s">
        <v>185</v>
      </c>
      <c r="E92" s="15" t="s">
        <v>248</v>
      </c>
      <c r="F92" s="15">
        <v>1</v>
      </c>
      <c r="G92" s="15" t="s">
        <v>143</v>
      </c>
      <c r="H92" s="15">
        <f>1700-1700</f>
        <v>0</v>
      </c>
      <c r="I92" s="15"/>
      <c r="J92" s="15" t="s">
        <v>154</v>
      </c>
      <c r="K92" s="15"/>
      <c r="L92" s="15" t="s">
        <v>155</v>
      </c>
      <c r="M92" s="15" t="s">
        <v>157</v>
      </c>
      <c r="N92" s="15" t="s">
        <v>65</v>
      </c>
      <c r="O92" s="15" t="s">
        <v>157</v>
      </c>
      <c r="P92" s="15"/>
      <c r="Q92" s="15"/>
      <c r="R92" s="15" t="s">
        <v>156</v>
      </c>
      <c r="S92" s="15" t="s">
        <v>158</v>
      </c>
      <c r="T92" s="16">
        <f t="shared" si="3"/>
        <v>0</v>
      </c>
      <c r="U92" s="16"/>
      <c r="V92" s="16"/>
    </row>
    <row r="93" spans="1:22" s="14" customFormat="1" ht="13.5" customHeight="1">
      <c r="A93" s="11">
        <v>2023</v>
      </c>
      <c r="B93" s="15" t="s">
        <v>196</v>
      </c>
      <c r="C93" s="15">
        <v>3627012110</v>
      </c>
      <c r="D93" s="15" t="s">
        <v>185</v>
      </c>
      <c r="E93" s="15" t="s">
        <v>249</v>
      </c>
      <c r="F93" s="15">
        <v>1</v>
      </c>
      <c r="G93" s="15" t="s">
        <v>143</v>
      </c>
      <c r="H93" s="15">
        <f>3200-200</f>
        <v>3000</v>
      </c>
      <c r="I93" s="15"/>
      <c r="J93" s="15"/>
      <c r="K93" s="15" t="s">
        <v>154</v>
      </c>
      <c r="L93" s="15" t="s">
        <v>155</v>
      </c>
      <c r="M93" s="15" t="s">
        <v>157</v>
      </c>
      <c r="N93" s="15" t="s">
        <v>65</v>
      </c>
      <c r="O93" s="15" t="s">
        <v>157</v>
      </c>
      <c r="P93" s="15"/>
      <c r="Q93" s="15"/>
      <c r="R93" s="15" t="s">
        <v>156</v>
      </c>
      <c r="S93" s="15" t="s">
        <v>158</v>
      </c>
      <c r="T93" s="16">
        <f t="shared" si="3"/>
        <v>3000</v>
      </c>
      <c r="U93" s="16">
        <v>2750</v>
      </c>
      <c r="V93" s="16">
        <f>T93-U93</f>
        <v>250</v>
      </c>
    </row>
    <row r="94" spans="1:22" s="14" customFormat="1" ht="13.5" customHeight="1">
      <c r="A94" s="11">
        <v>2023</v>
      </c>
      <c r="B94" s="29" t="s">
        <v>200</v>
      </c>
      <c r="C94" s="15">
        <v>472200611</v>
      </c>
      <c r="D94" s="15" t="s">
        <v>185</v>
      </c>
      <c r="E94" s="15" t="s">
        <v>250</v>
      </c>
      <c r="F94" s="15">
        <v>1</v>
      </c>
      <c r="G94" s="15" t="s">
        <v>143</v>
      </c>
      <c r="H94" s="15">
        <f>11000-11000</f>
        <v>0</v>
      </c>
      <c r="I94" s="15"/>
      <c r="J94" s="15" t="s">
        <v>154</v>
      </c>
      <c r="K94" s="15"/>
      <c r="L94" s="15" t="s">
        <v>155</v>
      </c>
      <c r="M94" s="15" t="s">
        <v>157</v>
      </c>
      <c r="N94" s="15" t="s">
        <v>85</v>
      </c>
      <c r="O94" s="15" t="s">
        <v>157</v>
      </c>
      <c r="P94" s="15"/>
      <c r="Q94" s="15"/>
      <c r="R94" s="15" t="s">
        <v>156</v>
      </c>
      <c r="S94" s="15" t="s">
        <v>193</v>
      </c>
      <c r="T94" s="16">
        <f t="shared" si="3"/>
        <v>0</v>
      </c>
      <c r="U94" s="16"/>
      <c r="V94" s="16"/>
    </row>
    <row r="95" spans="1:22" s="14" customFormat="1" ht="13.5" customHeight="1">
      <c r="A95" s="11">
        <v>2023</v>
      </c>
      <c r="B95" s="29" t="s">
        <v>200</v>
      </c>
      <c r="C95" s="15">
        <v>447600013</v>
      </c>
      <c r="D95" s="15" t="s">
        <v>185</v>
      </c>
      <c r="E95" s="15" t="s">
        <v>251</v>
      </c>
      <c r="F95" s="15">
        <v>1</v>
      </c>
      <c r="G95" s="15" t="s">
        <v>143</v>
      </c>
      <c r="H95" s="15">
        <f>2648-2648</f>
        <v>0</v>
      </c>
      <c r="I95" s="15"/>
      <c r="J95" s="15" t="s">
        <v>154</v>
      </c>
      <c r="K95" s="15"/>
      <c r="L95" s="15" t="s">
        <v>155</v>
      </c>
      <c r="M95" s="15" t="s">
        <v>157</v>
      </c>
      <c r="N95" s="15" t="s">
        <v>65</v>
      </c>
      <c r="O95" s="15" t="s">
        <v>157</v>
      </c>
      <c r="P95" s="15"/>
      <c r="Q95" s="15"/>
      <c r="R95" s="15" t="s">
        <v>156</v>
      </c>
      <c r="S95" s="15" t="s">
        <v>193</v>
      </c>
      <c r="T95" s="16">
        <f t="shared" si="3"/>
        <v>0</v>
      </c>
      <c r="U95" s="16"/>
      <c r="V95" s="16"/>
    </row>
    <row r="96" spans="1:22" s="14" customFormat="1" ht="13.5" customHeight="1">
      <c r="A96" s="11">
        <v>2023</v>
      </c>
      <c r="B96" s="29" t="s">
        <v>200</v>
      </c>
      <c r="C96" s="15">
        <v>836100021</v>
      </c>
      <c r="D96" s="15" t="s">
        <v>185</v>
      </c>
      <c r="E96" s="15" t="s">
        <v>252</v>
      </c>
      <c r="F96" s="15">
        <v>1</v>
      </c>
      <c r="G96" s="15" t="s">
        <v>143</v>
      </c>
      <c r="H96" s="15">
        <f>6300-6300</f>
        <v>0</v>
      </c>
      <c r="I96" s="15"/>
      <c r="J96" s="15" t="s">
        <v>154</v>
      </c>
      <c r="K96" s="15"/>
      <c r="L96" s="15" t="s">
        <v>155</v>
      </c>
      <c r="M96" s="15" t="s">
        <v>157</v>
      </c>
      <c r="N96" s="15" t="s">
        <v>65</v>
      </c>
      <c r="O96" s="15" t="s">
        <v>157</v>
      </c>
      <c r="P96" s="15"/>
      <c r="Q96" s="15"/>
      <c r="R96" s="15" t="s">
        <v>156</v>
      </c>
      <c r="S96" s="15" t="s">
        <v>193</v>
      </c>
      <c r="T96" s="16">
        <f t="shared" si="3"/>
        <v>0</v>
      </c>
      <c r="U96" s="16"/>
      <c r="V96" s="16"/>
    </row>
    <row r="97" spans="1:22" s="14" customFormat="1" ht="13.5" customHeight="1">
      <c r="A97" s="11">
        <v>2023</v>
      </c>
      <c r="B97" s="29" t="s">
        <v>200</v>
      </c>
      <c r="C97" s="15">
        <v>473130017</v>
      </c>
      <c r="D97" s="15" t="s">
        <v>185</v>
      </c>
      <c r="E97" s="15" t="s">
        <v>306</v>
      </c>
      <c r="F97" s="15">
        <v>1</v>
      </c>
      <c r="G97" s="15" t="s">
        <v>143</v>
      </c>
      <c r="H97" s="15">
        <f>280000-280000</f>
        <v>0</v>
      </c>
      <c r="I97" s="15"/>
      <c r="J97" s="15" t="s">
        <v>154</v>
      </c>
      <c r="K97" s="15"/>
      <c r="L97" s="15" t="s">
        <v>155</v>
      </c>
      <c r="M97" s="15" t="s">
        <v>157</v>
      </c>
      <c r="N97" s="15" t="s">
        <v>85</v>
      </c>
      <c r="O97" s="15" t="s">
        <v>157</v>
      </c>
      <c r="P97" s="15"/>
      <c r="Q97" s="15"/>
      <c r="R97" s="15" t="s">
        <v>156</v>
      </c>
      <c r="S97" s="15" t="s">
        <v>193</v>
      </c>
      <c r="T97" s="16">
        <f t="shared" si="3"/>
        <v>0</v>
      </c>
      <c r="U97" s="16"/>
      <c r="V97" s="16"/>
    </row>
    <row r="98" spans="1:22" s="14" customFormat="1" ht="13.5" customHeight="1">
      <c r="A98" s="11">
        <v>2023</v>
      </c>
      <c r="B98" s="29" t="s">
        <v>290</v>
      </c>
      <c r="C98" s="15">
        <v>491130092</v>
      </c>
      <c r="D98" s="15" t="s">
        <v>185</v>
      </c>
      <c r="E98" s="15" t="s">
        <v>253</v>
      </c>
      <c r="F98" s="15">
        <v>1</v>
      </c>
      <c r="G98" s="15" t="s">
        <v>143</v>
      </c>
      <c r="H98" s="15">
        <f>16000-16000</f>
        <v>0</v>
      </c>
      <c r="I98" s="15" t="s">
        <v>154</v>
      </c>
      <c r="J98" s="15"/>
      <c r="K98" s="15"/>
      <c r="L98" s="15" t="s">
        <v>155</v>
      </c>
      <c r="M98" s="15" t="s">
        <v>157</v>
      </c>
      <c r="N98" s="15" t="s">
        <v>85</v>
      </c>
      <c r="O98" s="15" t="s">
        <v>157</v>
      </c>
      <c r="P98" s="15"/>
      <c r="Q98" s="15"/>
      <c r="R98" s="15" t="s">
        <v>156</v>
      </c>
      <c r="S98" s="15" t="s">
        <v>193</v>
      </c>
      <c r="T98" s="16">
        <f t="shared" si="3"/>
        <v>0</v>
      </c>
      <c r="U98" s="16"/>
      <c r="V98" s="16"/>
    </row>
    <row r="99" spans="1:22" s="14" customFormat="1" ht="13.5" customHeight="1">
      <c r="A99" s="11">
        <v>2023</v>
      </c>
      <c r="B99" s="29" t="s">
        <v>290</v>
      </c>
      <c r="C99" s="29">
        <v>385100011</v>
      </c>
      <c r="D99" s="29" t="s">
        <v>185</v>
      </c>
      <c r="E99" s="29" t="s">
        <v>254</v>
      </c>
      <c r="F99" s="29">
        <v>1</v>
      </c>
      <c r="G99" s="29" t="s">
        <v>143</v>
      </c>
      <c r="H99" s="29">
        <f>6300-6300</f>
        <v>0</v>
      </c>
      <c r="I99" s="29" t="s">
        <v>154</v>
      </c>
      <c r="J99" s="29"/>
      <c r="K99" s="29"/>
      <c r="L99" s="29" t="s">
        <v>155</v>
      </c>
      <c r="M99" s="29" t="s">
        <v>157</v>
      </c>
      <c r="N99" s="29" t="s">
        <v>65</v>
      </c>
      <c r="O99" s="29" t="s">
        <v>157</v>
      </c>
      <c r="P99" s="15"/>
      <c r="Q99" s="15"/>
      <c r="R99" s="29" t="s">
        <v>156</v>
      </c>
      <c r="S99" s="29" t="s">
        <v>193</v>
      </c>
      <c r="T99" s="16">
        <f t="shared" si="3"/>
        <v>0</v>
      </c>
      <c r="U99" s="16"/>
      <c r="V99" s="16"/>
    </row>
    <row r="100" spans="1:22" s="14" customFormat="1" ht="13.5" customHeight="1">
      <c r="A100" s="11">
        <v>2023</v>
      </c>
      <c r="B100" s="29" t="s">
        <v>200</v>
      </c>
      <c r="C100" s="15">
        <v>473130017</v>
      </c>
      <c r="D100" s="15" t="s">
        <v>185</v>
      </c>
      <c r="E100" s="15" t="s">
        <v>255</v>
      </c>
      <c r="F100" s="15">
        <v>1</v>
      </c>
      <c r="G100" s="15" t="s">
        <v>143</v>
      </c>
      <c r="H100" s="15">
        <f>91623-91623</f>
        <v>0</v>
      </c>
      <c r="I100" s="15" t="s">
        <v>154</v>
      </c>
      <c r="J100" s="15"/>
      <c r="K100" s="15"/>
      <c r="L100" s="15" t="s">
        <v>155</v>
      </c>
      <c r="M100" s="15" t="s">
        <v>157</v>
      </c>
      <c r="N100" s="15" t="s">
        <v>85</v>
      </c>
      <c r="O100" s="15" t="s">
        <v>157</v>
      </c>
      <c r="P100" s="15"/>
      <c r="Q100" s="15"/>
      <c r="R100" s="15" t="s">
        <v>156</v>
      </c>
      <c r="S100" s="15" t="s">
        <v>193</v>
      </c>
      <c r="T100" s="16">
        <f t="shared" si="3"/>
        <v>0</v>
      </c>
      <c r="U100" s="16"/>
      <c r="V100" s="16"/>
    </row>
    <row r="101" spans="1:22" s="14" customFormat="1" ht="13.5" customHeight="1">
      <c r="A101" s="11">
        <v>2023</v>
      </c>
      <c r="B101" s="29" t="s">
        <v>212</v>
      </c>
      <c r="C101" s="15">
        <v>5129000250</v>
      </c>
      <c r="D101" s="15" t="s">
        <v>151</v>
      </c>
      <c r="E101" s="15" t="s">
        <v>317</v>
      </c>
      <c r="F101" s="15">
        <v>1</v>
      </c>
      <c r="G101" s="15" t="s">
        <v>143</v>
      </c>
      <c r="H101" s="15">
        <f>13475-13475</f>
        <v>0</v>
      </c>
      <c r="I101" s="15" t="s">
        <v>154</v>
      </c>
      <c r="J101" s="15"/>
      <c r="K101" s="15"/>
      <c r="L101" s="15" t="s">
        <v>155</v>
      </c>
      <c r="M101" s="15" t="s">
        <v>157</v>
      </c>
      <c r="N101" s="15" t="s">
        <v>85</v>
      </c>
      <c r="O101" s="15" t="s">
        <v>157</v>
      </c>
      <c r="P101" s="15"/>
      <c r="Q101" s="15"/>
      <c r="R101" s="15" t="s">
        <v>156</v>
      </c>
      <c r="S101" s="15" t="s">
        <v>158</v>
      </c>
      <c r="T101" s="16">
        <f t="shared" si="3"/>
        <v>0</v>
      </c>
      <c r="U101" s="16"/>
      <c r="V101" s="16"/>
    </row>
    <row r="102" spans="1:22" s="14" customFormat="1" ht="13.5" customHeight="1">
      <c r="A102" s="11">
        <v>2023</v>
      </c>
      <c r="B102" s="29" t="s">
        <v>196</v>
      </c>
      <c r="C102" s="15">
        <v>267300914</v>
      </c>
      <c r="D102" s="15" t="s">
        <v>185</v>
      </c>
      <c r="E102" s="15" t="s">
        <v>292</v>
      </c>
      <c r="F102" s="15">
        <v>1</v>
      </c>
      <c r="G102" s="15" t="s">
        <v>143</v>
      </c>
      <c r="H102" s="15">
        <f>7500-7500</f>
        <v>0</v>
      </c>
      <c r="I102" s="15" t="s">
        <v>154</v>
      </c>
      <c r="J102" s="15"/>
      <c r="K102" s="15"/>
      <c r="L102" s="15" t="s">
        <v>155</v>
      </c>
      <c r="M102" s="15" t="s">
        <v>157</v>
      </c>
      <c r="N102" s="15" t="s">
        <v>85</v>
      </c>
      <c r="O102" s="15" t="s">
        <v>157</v>
      </c>
      <c r="P102" s="15"/>
      <c r="Q102" s="15"/>
      <c r="R102" s="15" t="s">
        <v>156</v>
      </c>
      <c r="S102" s="15" t="s">
        <v>158</v>
      </c>
      <c r="T102" s="16">
        <f t="shared" si="3"/>
        <v>0</v>
      </c>
      <c r="U102" s="16"/>
      <c r="V102" s="16"/>
    </row>
    <row r="103" spans="1:22" s="14" customFormat="1" ht="13.5" customHeight="1">
      <c r="A103" s="11">
        <v>2023</v>
      </c>
      <c r="B103" s="29" t="s">
        <v>196</v>
      </c>
      <c r="C103" s="15">
        <v>429500016</v>
      </c>
      <c r="D103" s="15" t="s">
        <v>185</v>
      </c>
      <c r="E103" s="15" t="s">
        <v>293</v>
      </c>
      <c r="F103" s="15">
        <v>1</v>
      </c>
      <c r="G103" s="15" t="s">
        <v>143</v>
      </c>
      <c r="H103" s="15">
        <f>3748.5-3748.5</f>
        <v>0</v>
      </c>
      <c r="I103" s="15" t="s">
        <v>154</v>
      </c>
      <c r="J103" s="15"/>
      <c r="K103" s="15"/>
      <c r="L103" s="15" t="s">
        <v>155</v>
      </c>
      <c r="M103" s="15" t="s">
        <v>157</v>
      </c>
      <c r="N103" s="15" t="s">
        <v>65</v>
      </c>
      <c r="O103" s="15" t="s">
        <v>157</v>
      </c>
      <c r="P103" s="15"/>
      <c r="Q103" s="15"/>
      <c r="R103" s="15" t="s">
        <v>156</v>
      </c>
      <c r="S103" s="15" t="s">
        <v>158</v>
      </c>
      <c r="T103" s="16">
        <f t="shared" si="3"/>
        <v>0</v>
      </c>
      <c r="U103" s="16"/>
      <c r="V103" s="16"/>
    </row>
    <row r="104" spans="1:22" s="14" customFormat="1" ht="13.5" customHeight="1">
      <c r="A104" s="11">
        <v>2023</v>
      </c>
      <c r="B104" s="29" t="s">
        <v>175</v>
      </c>
      <c r="C104" s="15">
        <v>841600313</v>
      </c>
      <c r="D104" s="15" t="s">
        <v>151</v>
      </c>
      <c r="E104" s="15" t="s">
        <v>294</v>
      </c>
      <c r="F104" s="15">
        <v>1</v>
      </c>
      <c r="G104" s="15" t="s">
        <v>143</v>
      </c>
      <c r="H104" s="15">
        <f>3600-3600</f>
        <v>0</v>
      </c>
      <c r="I104" s="15" t="s">
        <v>154</v>
      </c>
      <c r="J104" s="15"/>
      <c r="K104" s="15"/>
      <c r="L104" s="15" t="s">
        <v>155</v>
      </c>
      <c r="M104" s="15" t="s">
        <v>157</v>
      </c>
      <c r="N104" s="15" t="s">
        <v>65</v>
      </c>
      <c r="O104" s="15" t="s">
        <v>157</v>
      </c>
      <c r="P104" s="15"/>
      <c r="Q104" s="15"/>
      <c r="R104" s="15" t="s">
        <v>156</v>
      </c>
      <c r="S104" s="15" t="s">
        <v>158</v>
      </c>
      <c r="T104" s="16">
        <f t="shared" si="3"/>
        <v>0</v>
      </c>
      <c r="U104" s="16"/>
      <c r="V104" s="16"/>
    </row>
    <row r="105" spans="1:22" s="14" customFormat="1" ht="13.5" customHeight="1">
      <c r="A105" s="11">
        <v>2023</v>
      </c>
      <c r="B105" s="29" t="s">
        <v>200</v>
      </c>
      <c r="C105" s="15">
        <v>3697000131</v>
      </c>
      <c r="D105" s="15" t="s">
        <v>185</v>
      </c>
      <c r="E105" s="15" t="s">
        <v>344</v>
      </c>
      <c r="F105" s="15">
        <v>1</v>
      </c>
      <c r="G105" s="15" t="s">
        <v>143</v>
      </c>
      <c r="H105" s="15">
        <v>5600</v>
      </c>
      <c r="I105" s="15"/>
      <c r="J105" s="15"/>
      <c r="K105" s="15" t="s">
        <v>154</v>
      </c>
      <c r="L105" s="15" t="s">
        <v>155</v>
      </c>
      <c r="M105" s="15" t="s">
        <v>157</v>
      </c>
      <c r="N105" s="15" t="s">
        <v>65</v>
      </c>
      <c r="O105" s="15" t="s">
        <v>157</v>
      </c>
      <c r="P105" s="15"/>
      <c r="Q105" s="15"/>
      <c r="R105" s="15" t="s">
        <v>156</v>
      </c>
      <c r="S105" s="15" t="s">
        <v>158</v>
      </c>
      <c r="T105" s="16">
        <f t="shared" si="3"/>
        <v>5600</v>
      </c>
      <c r="U105" s="16"/>
      <c r="V105" s="16"/>
    </row>
    <row r="106" spans="1:22" s="14" customFormat="1" ht="13.5" customHeight="1">
      <c r="A106" s="11">
        <v>2023</v>
      </c>
      <c r="B106" s="29" t="s">
        <v>200</v>
      </c>
      <c r="C106" s="15">
        <v>381210013</v>
      </c>
      <c r="D106" s="15" t="s">
        <v>185</v>
      </c>
      <c r="E106" s="15" t="s">
        <v>295</v>
      </c>
      <c r="F106" s="15">
        <v>1</v>
      </c>
      <c r="G106" s="15" t="s">
        <v>143</v>
      </c>
      <c r="H106" s="15">
        <f>2560.5-2560.5</f>
        <v>0</v>
      </c>
      <c r="I106" s="15" t="s">
        <v>154</v>
      </c>
      <c r="J106" s="15"/>
      <c r="K106" s="15"/>
      <c r="L106" s="15" t="s">
        <v>155</v>
      </c>
      <c r="M106" s="15" t="s">
        <v>157</v>
      </c>
      <c r="N106" s="15" t="s">
        <v>65</v>
      </c>
      <c r="O106" s="15" t="s">
        <v>157</v>
      </c>
      <c r="P106" s="15"/>
      <c r="Q106" s="15"/>
      <c r="R106" s="15" t="s">
        <v>156</v>
      </c>
      <c r="S106" s="15" t="s">
        <v>193</v>
      </c>
      <c r="T106" s="16">
        <f t="shared" si="3"/>
        <v>0</v>
      </c>
      <c r="U106" s="16"/>
      <c r="V106" s="16"/>
    </row>
    <row r="107" spans="1:22" s="14" customFormat="1" ht="13.5" customHeight="1">
      <c r="A107" s="11">
        <v>2023</v>
      </c>
      <c r="B107" s="15" t="s">
        <v>256</v>
      </c>
      <c r="C107" s="15">
        <v>491290519</v>
      </c>
      <c r="D107" s="15" t="s">
        <v>185</v>
      </c>
      <c r="E107" s="15" t="s">
        <v>315</v>
      </c>
      <c r="F107" s="15">
        <v>1</v>
      </c>
      <c r="G107" s="15" t="s">
        <v>143</v>
      </c>
      <c r="H107" s="15">
        <f>14000-14000</f>
        <v>0</v>
      </c>
      <c r="I107" s="15" t="s">
        <v>154</v>
      </c>
      <c r="J107" s="15"/>
      <c r="K107" s="15"/>
      <c r="L107" s="15" t="s">
        <v>155</v>
      </c>
      <c r="M107" s="15" t="s">
        <v>157</v>
      </c>
      <c r="N107" s="15" t="s">
        <v>85</v>
      </c>
      <c r="O107" s="15" t="s">
        <v>157</v>
      </c>
      <c r="P107" s="15"/>
      <c r="Q107" s="15"/>
      <c r="R107" s="15" t="s">
        <v>156</v>
      </c>
      <c r="S107" s="15" t="s">
        <v>193</v>
      </c>
      <c r="T107" s="16">
        <f>+F107*H107</f>
        <v>0</v>
      </c>
      <c r="U107" s="16"/>
      <c r="V107" s="16"/>
    </row>
    <row r="108" spans="1:22" s="14" customFormat="1" ht="13.5" customHeight="1">
      <c r="A108" s="11">
        <v>2023</v>
      </c>
      <c r="B108" s="15" t="s">
        <v>256</v>
      </c>
      <c r="C108" s="15">
        <v>491290518</v>
      </c>
      <c r="D108" s="15" t="s">
        <v>185</v>
      </c>
      <c r="E108" s="15" t="s">
        <v>257</v>
      </c>
      <c r="F108" s="15">
        <v>1</v>
      </c>
      <c r="G108" s="15" t="s">
        <v>143</v>
      </c>
      <c r="H108" s="15">
        <f>4900-4900</f>
        <v>0</v>
      </c>
      <c r="I108" s="15" t="s">
        <v>154</v>
      </c>
      <c r="J108" s="15"/>
      <c r="K108" s="15"/>
      <c r="L108" s="15" t="s">
        <v>155</v>
      </c>
      <c r="M108" s="15" t="s">
        <v>157</v>
      </c>
      <c r="N108" s="15" t="s">
        <v>65</v>
      </c>
      <c r="O108" s="15" t="s">
        <v>157</v>
      </c>
      <c r="P108" s="15"/>
      <c r="Q108" s="15"/>
      <c r="R108" s="15" t="s">
        <v>156</v>
      </c>
      <c r="S108" s="15" t="s">
        <v>193</v>
      </c>
      <c r="T108" s="16">
        <f>+F108*H108</f>
        <v>0</v>
      </c>
      <c r="U108" s="16"/>
      <c r="V108" s="16"/>
    </row>
    <row r="109" spans="1:22" s="14" customFormat="1" ht="13.5" customHeight="1">
      <c r="A109" s="34" t="s">
        <v>301</v>
      </c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43"/>
      <c r="T109" s="44">
        <f>SUM(T110:T111)</f>
        <v>2000</v>
      </c>
      <c r="U109" s="44"/>
      <c r="V109" s="44"/>
    </row>
    <row r="110" spans="1:22" s="14" customFormat="1" ht="13.5" customHeight="1">
      <c r="A110" s="11">
        <v>2023</v>
      </c>
      <c r="B110" s="11" t="s">
        <v>291</v>
      </c>
      <c r="C110" s="11">
        <v>821200011</v>
      </c>
      <c r="D110" s="11" t="s">
        <v>151</v>
      </c>
      <c r="E110" s="11" t="s">
        <v>31</v>
      </c>
      <c r="F110" s="11">
        <v>1</v>
      </c>
      <c r="G110" s="11" t="s">
        <v>143</v>
      </c>
      <c r="H110" s="11">
        <f>300000-300000</f>
        <v>0</v>
      </c>
      <c r="I110" s="11" t="s">
        <v>154</v>
      </c>
      <c r="J110" s="11"/>
      <c r="K110" s="11"/>
      <c r="L110" s="11"/>
      <c r="M110" s="11" t="s">
        <v>157</v>
      </c>
      <c r="N110" s="11" t="s">
        <v>31</v>
      </c>
      <c r="O110" s="11" t="s">
        <v>157</v>
      </c>
      <c r="P110" s="11"/>
      <c r="Q110" s="11"/>
      <c r="R110" s="11" t="s">
        <v>180</v>
      </c>
      <c r="S110" s="12" t="s">
        <v>158</v>
      </c>
      <c r="T110" s="13">
        <f>+F110*H110</f>
        <v>0</v>
      </c>
      <c r="U110" s="13"/>
      <c r="V110" s="13"/>
    </row>
    <row r="111" spans="1:22" s="14" customFormat="1" ht="13.5" customHeight="1">
      <c r="A111" s="11">
        <v>2023</v>
      </c>
      <c r="B111" s="11" t="s">
        <v>212</v>
      </c>
      <c r="C111" s="11">
        <v>5129000117</v>
      </c>
      <c r="D111" s="26" t="s">
        <v>151</v>
      </c>
      <c r="E111" s="11" t="s">
        <v>318</v>
      </c>
      <c r="F111" s="11">
        <v>1</v>
      </c>
      <c r="G111" s="11" t="s">
        <v>143</v>
      </c>
      <c r="H111" s="11">
        <f>6000-4000</f>
        <v>2000</v>
      </c>
      <c r="I111" s="11"/>
      <c r="J111" s="11"/>
      <c r="K111" s="11" t="s">
        <v>154</v>
      </c>
      <c r="L111" s="11" t="s">
        <v>155</v>
      </c>
      <c r="M111" s="11" t="s">
        <v>157</v>
      </c>
      <c r="N111" s="11" t="s">
        <v>65</v>
      </c>
      <c r="O111" s="11" t="s">
        <v>157</v>
      </c>
      <c r="P111" s="11"/>
      <c r="Q111" s="11"/>
      <c r="R111" s="11" t="s">
        <v>156</v>
      </c>
      <c r="S111" s="12" t="s">
        <v>158</v>
      </c>
      <c r="T111" s="13">
        <f>+F111*H111</f>
        <v>2000</v>
      </c>
      <c r="U111" s="13"/>
      <c r="V111" s="13"/>
    </row>
    <row r="112" spans="1:22" s="14" customFormat="1" ht="13.5" customHeight="1">
      <c r="A112" s="34" t="s">
        <v>302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43"/>
      <c r="T112" s="44">
        <f>SUM(T113:T130)</f>
        <v>223800</v>
      </c>
      <c r="U112" s="44"/>
      <c r="V112" s="44"/>
    </row>
    <row r="113" spans="1:22" s="14" customFormat="1" ht="13.5" customHeight="1">
      <c r="A113" s="11">
        <v>2023</v>
      </c>
      <c r="B113" s="29" t="s">
        <v>258</v>
      </c>
      <c r="C113" s="29">
        <v>841600311</v>
      </c>
      <c r="D113" s="29" t="s">
        <v>151</v>
      </c>
      <c r="E113" s="29" t="s">
        <v>259</v>
      </c>
      <c r="F113" s="15">
        <v>1</v>
      </c>
      <c r="G113" s="15" t="s">
        <v>143</v>
      </c>
      <c r="H113" s="15">
        <v>6300</v>
      </c>
      <c r="I113" s="15" t="s">
        <v>154</v>
      </c>
      <c r="J113" s="15" t="s">
        <v>154</v>
      </c>
      <c r="K113" s="15"/>
      <c r="L113" s="29" t="s">
        <v>155</v>
      </c>
      <c r="M113" s="15" t="s">
        <v>157</v>
      </c>
      <c r="N113" s="15" t="s">
        <v>65</v>
      </c>
      <c r="O113" s="15" t="s">
        <v>157</v>
      </c>
      <c r="P113" s="15"/>
      <c r="Q113" s="15"/>
      <c r="R113" s="15" t="s">
        <v>156</v>
      </c>
      <c r="S113" s="17" t="s">
        <v>158</v>
      </c>
      <c r="T113" s="16">
        <f aca="true" t="shared" si="4" ref="T113:T130">+F113*H113</f>
        <v>6300</v>
      </c>
      <c r="U113" s="16">
        <f>2400+2379</f>
        <v>4779</v>
      </c>
      <c r="V113" s="16">
        <f>T113-U113</f>
        <v>1521</v>
      </c>
    </row>
    <row r="114" spans="1:22" s="14" customFormat="1" ht="13.5" customHeight="1">
      <c r="A114" s="11">
        <v>2023</v>
      </c>
      <c r="B114" s="15" t="s">
        <v>212</v>
      </c>
      <c r="C114" s="15">
        <v>512900021</v>
      </c>
      <c r="D114" s="15" t="s">
        <v>185</v>
      </c>
      <c r="E114" s="15" t="s">
        <v>260</v>
      </c>
      <c r="F114" s="15">
        <v>1</v>
      </c>
      <c r="G114" s="15" t="s">
        <v>143</v>
      </c>
      <c r="H114" s="15">
        <f>2000-2000</f>
        <v>0</v>
      </c>
      <c r="I114" s="15"/>
      <c r="J114" s="15" t="s">
        <v>154</v>
      </c>
      <c r="K114" s="15"/>
      <c r="L114" s="15" t="s">
        <v>155</v>
      </c>
      <c r="M114" s="15" t="s">
        <v>157</v>
      </c>
      <c r="N114" s="15" t="s">
        <v>65</v>
      </c>
      <c r="O114" s="15" t="s">
        <v>157</v>
      </c>
      <c r="P114" s="15"/>
      <c r="Q114" s="15"/>
      <c r="R114" s="15" t="s">
        <v>156</v>
      </c>
      <c r="S114" s="17" t="s">
        <v>158</v>
      </c>
      <c r="T114" s="16">
        <f t="shared" si="4"/>
        <v>0</v>
      </c>
      <c r="U114" s="16"/>
      <c r="V114" s="16"/>
    </row>
    <row r="115" spans="1:22" s="14" customFormat="1" ht="13.5" customHeight="1">
      <c r="A115" s="11">
        <v>2023</v>
      </c>
      <c r="B115" s="15" t="s">
        <v>212</v>
      </c>
      <c r="C115" s="15">
        <v>512900021</v>
      </c>
      <c r="D115" s="15" t="s">
        <v>151</v>
      </c>
      <c r="E115" s="15" t="s">
        <v>261</v>
      </c>
      <c r="F115" s="15">
        <v>1</v>
      </c>
      <c r="G115" s="15" t="s">
        <v>143</v>
      </c>
      <c r="H115" s="15">
        <f>5000+1000</f>
        <v>6000</v>
      </c>
      <c r="I115" s="15"/>
      <c r="J115" s="15" t="s">
        <v>154</v>
      </c>
      <c r="K115" s="15"/>
      <c r="L115" s="15" t="s">
        <v>155</v>
      </c>
      <c r="M115" s="15" t="s">
        <v>157</v>
      </c>
      <c r="N115" s="15" t="s">
        <v>65</v>
      </c>
      <c r="O115" s="15" t="s">
        <v>157</v>
      </c>
      <c r="P115" s="15"/>
      <c r="Q115" s="15"/>
      <c r="R115" s="15" t="s">
        <v>156</v>
      </c>
      <c r="S115" s="17" t="s">
        <v>158</v>
      </c>
      <c r="T115" s="16">
        <f t="shared" si="4"/>
        <v>6000</v>
      </c>
      <c r="U115" s="16">
        <v>5990</v>
      </c>
      <c r="V115" s="16">
        <f>T115-U115</f>
        <v>10</v>
      </c>
    </row>
    <row r="116" spans="1:22" s="14" customFormat="1" ht="13.5" customHeight="1">
      <c r="A116" s="11">
        <v>2023</v>
      </c>
      <c r="B116" s="15" t="s">
        <v>212</v>
      </c>
      <c r="C116" s="15">
        <v>512900021</v>
      </c>
      <c r="D116" s="15" t="s">
        <v>151</v>
      </c>
      <c r="E116" s="15" t="s">
        <v>319</v>
      </c>
      <c r="F116" s="15">
        <v>1</v>
      </c>
      <c r="G116" s="15" t="s">
        <v>143</v>
      </c>
      <c r="H116" s="15">
        <v>3000</v>
      </c>
      <c r="I116" s="15" t="s">
        <v>154</v>
      </c>
      <c r="J116" s="15"/>
      <c r="K116" s="15"/>
      <c r="L116" s="15" t="s">
        <v>155</v>
      </c>
      <c r="M116" s="15" t="s">
        <v>157</v>
      </c>
      <c r="N116" s="15" t="s">
        <v>65</v>
      </c>
      <c r="O116" s="15" t="s">
        <v>157</v>
      </c>
      <c r="P116" s="15"/>
      <c r="Q116" s="15"/>
      <c r="R116" s="15" t="s">
        <v>156</v>
      </c>
      <c r="S116" s="17" t="s">
        <v>158</v>
      </c>
      <c r="T116" s="16">
        <f t="shared" si="4"/>
        <v>3000</v>
      </c>
      <c r="U116" s="16">
        <v>2890</v>
      </c>
      <c r="V116" s="16">
        <f>T116-U116</f>
        <v>110</v>
      </c>
    </row>
    <row r="117" spans="1:22" s="14" customFormat="1" ht="13.5" customHeight="1">
      <c r="A117" s="11">
        <v>2023</v>
      </c>
      <c r="B117" s="15" t="s">
        <v>262</v>
      </c>
      <c r="C117" s="15">
        <v>731250014</v>
      </c>
      <c r="D117" s="15" t="s">
        <v>151</v>
      </c>
      <c r="E117" s="15" t="s">
        <v>263</v>
      </c>
      <c r="F117" s="15">
        <v>1</v>
      </c>
      <c r="G117" s="15" t="s">
        <v>143</v>
      </c>
      <c r="H117" s="15">
        <f>6300+100</f>
        <v>6400</v>
      </c>
      <c r="I117" s="15" t="s">
        <v>154</v>
      </c>
      <c r="J117" s="15"/>
      <c r="K117" s="15"/>
      <c r="L117" s="15" t="s">
        <v>155</v>
      </c>
      <c r="M117" s="15" t="s">
        <v>157</v>
      </c>
      <c r="N117" s="15" t="s">
        <v>85</v>
      </c>
      <c r="O117" s="15" t="s">
        <v>157</v>
      </c>
      <c r="P117" s="15"/>
      <c r="Q117" s="15"/>
      <c r="R117" s="15" t="s">
        <v>156</v>
      </c>
      <c r="S117" s="17" t="s">
        <v>158</v>
      </c>
      <c r="T117" s="16">
        <f t="shared" si="4"/>
        <v>6400</v>
      </c>
      <c r="U117" s="16">
        <v>5960</v>
      </c>
      <c r="V117" s="16">
        <f>T117-U117</f>
        <v>440</v>
      </c>
    </row>
    <row r="118" spans="1:22" s="14" customFormat="1" ht="13.5" customHeight="1">
      <c r="A118" s="11">
        <v>2023</v>
      </c>
      <c r="B118" s="15" t="s">
        <v>262</v>
      </c>
      <c r="C118" s="15">
        <v>842100011</v>
      </c>
      <c r="D118" s="15" t="s">
        <v>151</v>
      </c>
      <c r="E118" s="15" t="s">
        <v>345</v>
      </c>
      <c r="F118" s="15">
        <v>1</v>
      </c>
      <c r="G118" s="15" t="s">
        <v>143</v>
      </c>
      <c r="H118" s="15">
        <v>600</v>
      </c>
      <c r="I118" s="15"/>
      <c r="J118" s="15" t="s">
        <v>154</v>
      </c>
      <c r="K118" s="15"/>
      <c r="L118" s="15" t="s">
        <v>155</v>
      </c>
      <c r="M118" s="15" t="s">
        <v>157</v>
      </c>
      <c r="N118" s="15" t="s">
        <v>65</v>
      </c>
      <c r="O118" s="15" t="s">
        <v>157</v>
      </c>
      <c r="P118" s="15"/>
      <c r="Q118" s="15"/>
      <c r="R118" s="15" t="s">
        <v>156</v>
      </c>
      <c r="S118" s="17" t="s">
        <v>158</v>
      </c>
      <c r="T118" s="16">
        <f t="shared" si="4"/>
        <v>600</v>
      </c>
      <c r="U118" s="16">
        <v>501</v>
      </c>
      <c r="V118" s="16">
        <f>T118-U118</f>
        <v>99</v>
      </c>
    </row>
    <row r="119" spans="1:22" s="14" customFormat="1" ht="13.5" customHeight="1">
      <c r="A119" s="11">
        <v>2023</v>
      </c>
      <c r="B119" s="15" t="s">
        <v>264</v>
      </c>
      <c r="C119" s="15">
        <v>871300011</v>
      </c>
      <c r="D119" s="15" t="s">
        <v>151</v>
      </c>
      <c r="E119" s="15" t="s">
        <v>265</v>
      </c>
      <c r="F119" s="15">
        <v>1</v>
      </c>
      <c r="G119" s="15" t="s">
        <v>143</v>
      </c>
      <c r="H119" s="15">
        <f>6300-3300</f>
        <v>3000</v>
      </c>
      <c r="I119" s="15"/>
      <c r="J119" s="15"/>
      <c r="K119" s="15" t="s">
        <v>154</v>
      </c>
      <c r="L119" s="15" t="s">
        <v>171</v>
      </c>
      <c r="M119" s="15" t="s">
        <v>157</v>
      </c>
      <c r="N119" s="15" t="s">
        <v>65</v>
      </c>
      <c r="O119" s="15" t="s">
        <v>157</v>
      </c>
      <c r="P119" s="15"/>
      <c r="Q119" s="15"/>
      <c r="R119" s="15" t="s">
        <v>156</v>
      </c>
      <c r="S119" s="17" t="s">
        <v>158</v>
      </c>
      <c r="T119" s="16">
        <f t="shared" si="4"/>
        <v>3000</v>
      </c>
      <c r="U119" s="16"/>
      <c r="V119" s="16"/>
    </row>
    <row r="120" spans="1:22" s="14" customFormat="1" ht="13.5" customHeight="1">
      <c r="A120" s="11">
        <v>2023</v>
      </c>
      <c r="B120" s="15" t="s">
        <v>264</v>
      </c>
      <c r="C120" s="15">
        <v>841600111</v>
      </c>
      <c r="D120" s="15" t="s">
        <v>151</v>
      </c>
      <c r="E120" s="29" t="s">
        <v>266</v>
      </c>
      <c r="F120" s="15">
        <v>1</v>
      </c>
      <c r="G120" s="15" t="s">
        <v>143</v>
      </c>
      <c r="H120" s="15">
        <v>2000</v>
      </c>
      <c r="I120" s="15"/>
      <c r="J120" s="15"/>
      <c r="K120" s="15" t="s">
        <v>154</v>
      </c>
      <c r="L120" s="15" t="s">
        <v>171</v>
      </c>
      <c r="M120" s="15" t="s">
        <v>157</v>
      </c>
      <c r="N120" s="15" t="s">
        <v>65</v>
      </c>
      <c r="O120" s="15" t="s">
        <v>157</v>
      </c>
      <c r="P120" s="15"/>
      <c r="Q120" s="15"/>
      <c r="R120" s="15" t="s">
        <v>156</v>
      </c>
      <c r="S120" s="17" t="s">
        <v>158</v>
      </c>
      <c r="T120" s="16">
        <f t="shared" si="4"/>
        <v>2000</v>
      </c>
      <c r="U120" s="16"/>
      <c r="V120" s="16"/>
    </row>
    <row r="121" spans="1:22" s="14" customFormat="1" ht="13.5" customHeight="1">
      <c r="A121" s="11">
        <v>2023</v>
      </c>
      <c r="B121" s="15" t="s">
        <v>264</v>
      </c>
      <c r="C121" s="15">
        <v>873900011</v>
      </c>
      <c r="D121" s="15" t="s">
        <v>151</v>
      </c>
      <c r="E121" s="29" t="s">
        <v>267</v>
      </c>
      <c r="F121" s="15">
        <v>1</v>
      </c>
      <c r="G121" s="15" t="s">
        <v>143</v>
      </c>
      <c r="H121" s="15">
        <f>6000-6000</f>
        <v>0</v>
      </c>
      <c r="I121" s="15"/>
      <c r="J121" s="15" t="s">
        <v>154</v>
      </c>
      <c r="K121" s="15"/>
      <c r="L121" s="15" t="s">
        <v>171</v>
      </c>
      <c r="M121" s="15" t="s">
        <v>157</v>
      </c>
      <c r="N121" s="15" t="s">
        <v>65</v>
      </c>
      <c r="O121" s="15" t="s">
        <v>157</v>
      </c>
      <c r="P121" s="15"/>
      <c r="Q121" s="15"/>
      <c r="R121" s="15" t="s">
        <v>156</v>
      </c>
      <c r="S121" s="17" t="s">
        <v>158</v>
      </c>
      <c r="T121" s="16">
        <f t="shared" si="4"/>
        <v>0</v>
      </c>
      <c r="U121" s="16"/>
      <c r="V121" s="16"/>
    </row>
    <row r="122" spans="1:22" s="14" customFormat="1" ht="13.5" customHeight="1">
      <c r="A122" s="11">
        <v>2023</v>
      </c>
      <c r="B122" s="15" t="s">
        <v>219</v>
      </c>
      <c r="C122" s="15">
        <v>38912013917</v>
      </c>
      <c r="D122" s="15" t="s">
        <v>185</v>
      </c>
      <c r="E122" s="29" t="s">
        <v>326</v>
      </c>
      <c r="F122" s="15">
        <v>1</v>
      </c>
      <c r="G122" s="15" t="s">
        <v>143</v>
      </c>
      <c r="H122" s="15">
        <f>9000+7000</f>
        <v>16000</v>
      </c>
      <c r="I122" s="15" t="s">
        <v>154</v>
      </c>
      <c r="J122" s="15"/>
      <c r="K122" s="15" t="s">
        <v>154</v>
      </c>
      <c r="L122" s="15" t="s">
        <v>155</v>
      </c>
      <c r="M122" s="15" t="s">
        <v>165</v>
      </c>
      <c r="N122" s="15" t="s">
        <v>37</v>
      </c>
      <c r="O122" s="15" t="s">
        <v>157</v>
      </c>
      <c r="P122" s="15"/>
      <c r="Q122" s="15"/>
      <c r="R122" s="15" t="s">
        <v>156</v>
      </c>
      <c r="S122" s="17" t="s">
        <v>158</v>
      </c>
      <c r="T122" s="16">
        <f t="shared" si="4"/>
        <v>16000</v>
      </c>
      <c r="U122" s="16">
        <f>9000+3300</f>
        <v>12300</v>
      </c>
      <c r="V122" s="16">
        <f>T122-U122</f>
        <v>3700</v>
      </c>
    </row>
    <row r="123" spans="1:22" s="14" customFormat="1" ht="13.5" customHeight="1">
      <c r="A123" s="11">
        <v>2023</v>
      </c>
      <c r="B123" s="15" t="s">
        <v>219</v>
      </c>
      <c r="C123" s="15">
        <v>38912013912</v>
      </c>
      <c r="D123" s="15" t="s">
        <v>185</v>
      </c>
      <c r="E123" s="29" t="s">
        <v>327</v>
      </c>
      <c r="F123" s="15">
        <v>1</v>
      </c>
      <c r="G123" s="15" t="s">
        <v>143</v>
      </c>
      <c r="H123" s="15">
        <f>3000+1000</f>
        <v>4000</v>
      </c>
      <c r="I123" s="15" t="s">
        <v>154</v>
      </c>
      <c r="J123" s="15"/>
      <c r="K123" s="15" t="s">
        <v>154</v>
      </c>
      <c r="L123" s="15" t="s">
        <v>155</v>
      </c>
      <c r="M123" s="15" t="s">
        <v>157</v>
      </c>
      <c r="N123" s="15" t="s">
        <v>65</v>
      </c>
      <c r="O123" s="15" t="s">
        <v>157</v>
      </c>
      <c r="P123" s="15"/>
      <c r="Q123" s="15"/>
      <c r="R123" s="15" t="s">
        <v>156</v>
      </c>
      <c r="S123" s="17" t="s">
        <v>158</v>
      </c>
      <c r="T123" s="16">
        <f t="shared" si="4"/>
        <v>4000</v>
      </c>
      <c r="U123" s="16">
        <v>1289</v>
      </c>
      <c r="V123" s="16">
        <f>T123-U123</f>
        <v>2711</v>
      </c>
    </row>
    <row r="124" spans="1:22" s="14" customFormat="1" ht="13.5" customHeight="1">
      <c r="A124" s="11">
        <v>2023</v>
      </c>
      <c r="B124" s="15" t="s">
        <v>189</v>
      </c>
      <c r="C124" s="15">
        <v>452900031</v>
      </c>
      <c r="D124" s="15" t="s">
        <v>185</v>
      </c>
      <c r="E124" s="29" t="s">
        <v>268</v>
      </c>
      <c r="F124" s="15">
        <v>1</v>
      </c>
      <c r="G124" s="15" t="s">
        <v>143</v>
      </c>
      <c r="H124" s="15">
        <v>6300</v>
      </c>
      <c r="I124" s="15"/>
      <c r="J124" s="15"/>
      <c r="K124" s="15" t="s">
        <v>154</v>
      </c>
      <c r="L124" s="15" t="s">
        <v>155</v>
      </c>
      <c r="M124" s="15" t="s">
        <v>157</v>
      </c>
      <c r="N124" s="15" t="s">
        <v>65</v>
      </c>
      <c r="O124" s="15" t="s">
        <v>157</v>
      </c>
      <c r="P124" s="15"/>
      <c r="Q124" s="15"/>
      <c r="R124" s="15" t="s">
        <v>156</v>
      </c>
      <c r="S124" s="17" t="s">
        <v>158</v>
      </c>
      <c r="T124" s="16">
        <f t="shared" si="4"/>
        <v>6300</v>
      </c>
      <c r="U124" s="16">
        <f>1450+932.49</f>
        <v>2382.49</v>
      </c>
      <c r="V124" s="16">
        <f>T124-U124</f>
        <v>3917.51</v>
      </c>
    </row>
    <row r="125" spans="1:22" s="14" customFormat="1" ht="13.5" customHeight="1">
      <c r="A125" s="11">
        <v>2023</v>
      </c>
      <c r="B125" s="15" t="s">
        <v>269</v>
      </c>
      <c r="C125" s="15">
        <v>831410511</v>
      </c>
      <c r="D125" s="15" t="s">
        <v>151</v>
      </c>
      <c r="E125" s="29" t="s">
        <v>270</v>
      </c>
      <c r="F125" s="15">
        <v>1</v>
      </c>
      <c r="G125" s="15" t="s">
        <v>143</v>
      </c>
      <c r="H125" s="15">
        <v>153600</v>
      </c>
      <c r="I125" s="15"/>
      <c r="J125" s="15"/>
      <c r="K125" s="15" t="s">
        <v>154</v>
      </c>
      <c r="L125" s="15"/>
      <c r="M125" s="15" t="s">
        <v>157</v>
      </c>
      <c r="N125" s="15" t="s">
        <v>35</v>
      </c>
      <c r="O125" s="15" t="s">
        <v>157</v>
      </c>
      <c r="P125" s="15"/>
      <c r="Q125" s="15"/>
      <c r="R125" s="15" t="s">
        <v>180</v>
      </c>
      <c r="S125" s="17" t="s">
        <v>193</v>
      </c>
      <c r="T125" s="16">
        <f t="shared" si="4"/>
        <v>153600</v>
      </c>
      <c r="U125" s="16"/>
      <c r="V125" s="16"/>
    </row>
    <row r="126" spans="1:22" s="14" customFormat="1" ht="13.5" customHeight="1">
      <c r="A126" s="11">
        <v>2023</v>
      </c>
      <c r="B126" s="15" t="s">
        <v>271</v>
      </c>
      <c r="C126" s="15">
        <v>473130017</v>
      </c>
      <c r="D126" s="15" t="s">
        <v>185</v>
      </c>
      <c r="E126" s="29" t="s">
        <v>272</v>
      </c>
      <c r="F126" s="15">
        <v>1</v>
      </c>
      <c r="G126" s="15" t="s">
        <v>143</v>
      </c>
      <c r="H126" s="15">
        <f>6000-2000</f>
        <v>4000</v>
      </c>
      <c r="I126" s="15"/>
      <c r="J126" s="15"/>
      <c r="K126" s="15" t="s">
        <v>154</v>
      </c>
      <c r="L126" s="15" t="s">
        <v>155</v>
      </c>
      <c r="M126" s="15" t="s">
        <v>157</v>
      </c>
      <c r="N126" s="15" t="s">
        <v>65</v>
      </c>
      <c r="O126" s="15" t="s">
        <v>157</v>
      </c>
      <c r="P126" s="15"/>
      <c r="Q126" s="15"/>
      <c r="R126" s="15" t="s">
        <v>156</v>
      </c>
      <c r="S126" s="17" t="s">
        <v>158</v>
      </c>
      <c r="T126" s="16">
        <f t="shared" si="4"/>
        <v>4000</v>
      </c>
      <c r="U126" s="16"/>
      <c r="V126" s="16"/>
    </row>
    <row r="127" spans="1:22" s="14" customFormat="1" ht="13.5" customHeight="1">
      <c r="A127" s="11">
        <v>2023</v>
      </c>
      <c r="B127" s="15" t="s">
        <v>271</v>
      </c>
      <c r="C127" s="15">
        <v>512900021</v>
      </c>
      <c r="D127" s="15" t="s">
        <v>185</v>
      </c>
      <c r="E127" s="29" t="s">
        <v>273</v>
      </c>
      <c r="F127" s="15">
        <v>1</v>
      </c>
      <c r="G127" s="15" t="s">
        <v>143</v>
      </c>
      <c r="H127" s="15">
        <f>15000-1800-13200</f>
        <v>0</v>
      </c>
      <c r="I127" s="15" t="s">
        <v>154</v>
      </c>
      <c r="J127" s="15"/>
      <c r="K127" s="15"/>
      <c r="L127" s="15" t="s">
        <v>155</v>
      </c>
      <c r="M127" s="15" t="s">
        <v>157</v>
      </c>
      <c r="N127" s="15" t="s">
        <v>85</v>
      </c>
      <c r="O127" s="15" t="s">
        <v>157</v>
      </c>
      <c r="P127" s="15"/>
      <c r="Q127" s="15"/>
      <c r="R127" s="15" t="s">
        <v>156</v>
      </c>
      <c r="S127" s="17" t="s">
        <v>193</v>
      </c>
      <c r="T127" s="16">
        <f t="shared" si="4"/>
        <v>0</v>
      </c>
      <c r="U127" s="16"/>
      <c r="V127" s="16"/>
    </row>
    <row r="128" spans="1:22" s="14" customFormat="1" ht="13.5" customHeight="1">
      <c r="A128" s="11">
        <v>2023</v>
      </c>
      <c r="B128" s="15" t="s">
        <v>271</v>
      </c>
      <c r="C128" s="15">
        <v>452300015</v>
      </c>
      <c r="D128" s="15" t="s">
        <v>185</v>
      </c>
      <c r="E128" s="29" t="s">
        <v>274</v>
      </c>
      <c r="F128" s="15">
        <v>1</v>
      </c>
      <c r="G128" s="15" t="s">
        <v>143</v>
      </c>
      <c r="H128" s="15">
        <f>5800+500</f>
        <v>6300</v>
      </c>
      <c r="I128" s="15"/>
      <c r="J128" s="15" t="s">
        <v>154</v>
      </c>
      <c r="K128" s="15"/>
      <c r="L128" s="15" t="s">
        <v>155</v>
      </c>
      <c r="M128" s="15" t="s">
        <v>157</v>
      </c>
      <c r="N128" s="15" t="s">
        <v>65</v>
      </c>
      <c r="O128" s="15" t="s">
        <v>157</v>
      </c>
      <c r="P128" s="15"/>
      <c r="Q128" s="15"/>
      <c r="R128" s="15" t="s">
        <v>156</v>
      </c>
      <c r="S128" s="17" t="s">
        <v>158</v>
      </c>
      <c r="T128" s="16">
        <f t="shared" si="4"/>
        <v>6300</v>
      </c>
      <c r="U128" s="16"/>
      <c r="V128" s="16"/>
    </row>
    <row r="129" spans="1:22" s="14" customFormat="1" ht="13.5" customHeight="1">
      <c r="A129" s="11">
        <v>2023</v>
      </c>
      <c r="B129" s="15" t="s">
        <v>271</v>
      </c>
      <c r="C129" s="15">
        <v>452300089</v>
      </c>
      <c r="D129" s="15" t="s">
        <v>185</v>
      </c>
      <c r="E129" s="29" t="s">
        <v>351</v>
      </c>
      <c r="F129" s="15">
        <v>1</v>
      </c>
      <c r="G129" s="15" t="s">
        <v>143</v>
      </c>
      <c r="H129" s="15">
        <v>4700</v>
      </c>
      <c r="I129" s="15"/>
      <c r="J129" s="15"/>
      <c r="K129" s="15" t="s">
        <v>154</v>
      </c>
      <c r="L129" s="15" t="s">
        <v>155</v>
      </c>
      <c r="M129" s="15" t="s">
        <v>157</v>
      </c>
      <c r="N129" s="15" t="s">
        <v>65</v>
      </c>
      <c r="O129" s="15" t="s">
        <v>157</v>
      </c>
      <c r="P129" s="15"/>
      <c r="Q129" s="15"/>
      <c r="R129" s="15" t="s">
        <v>156</v>
      </c>
      <c r="S129" s="17" t="s">
        <v>193</v>
      </c>
      <c r="T129" s="16">
        <f t="shared" si="4"/>
        <v>4700</v>
      </c>
      <c r="U129" s="16"/>
      <c r="V129" s="16"/>
    </row>
    <row r="130" spans="1:22" s="14" customFormat="1" ht="13.5" customHeight="1">
      <c r="A130" s="11">
        <v>2023</v>
      </c>
      <c r="B130" s="15" t="s">
        <v>271</v>
      </c>
      <c r="C130" s="15">
        <v>4522000120</v>
      </c>
      <c r="D130" s="15" t="s">
        <v>185</v>
      </c>
      <c r="E130" s="29" t="s">
        <v>316</v>
      </c>
      <c r="F130" s="15">
        <v>1</v>
      </c>
      <c r="G130" s="15" t="s">
        <v>143</v>
      </c>
      <c r="H130" s="15">
        <v>1600</v>
      </c>
      <c r="I130" s="15"/>
      <c r="J130" s="15"/>
      <c r="K130" s="15" t="s">
        <v>154</v>
      </c>
      <c r="L130" s="15" t="s">
        <v>155</v>
      </c>
      <c r="M130" s="15" t="s">
        <v>165</v>
      </c>
      <c r="N130" s="15" t="s">
        <v>37</v>
      </c>
      <c r="O130" s="15" t="s">
        <v>157</v>
      </c>
      <c r="P130" s="15"/>
      <c r="Q130" s="15"/>
      <c r="R130" s="15" t="s">
        <v>156</v>
      </c>
      <c r="S130" s="17" t="s">
        <v>193</v>
      </c>
      <c r="T130" s="16">
        <f t="shared" si="4"/>
        <v>1600</v>
      </c>
      <c r="U130" s="16"/>
      <c r="V130" s="16"/>
    </row>
    <row r="131" spans="1:22" s="14" customFormat="1" ht="13.5" customHeight="1">
      <c r="A131" s="34" t="s">
        <v>303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43"/>
      <c r="T131" s="44">
        <f>SUM(T132:T141)</f>
        <v>45200</v>
      </c>
      <c r="U131" s="44"/>
      <c r="V131" s="44"/>
    </row>
    <row r="132" spans="1:22" s="14" customFormat="1" ht="13.5" customHeight="1">
      <c r="A132" s="15">
        <v>2023</v>
      </c>
      <c r="B132" s="15" t="s">
        <v>275</v>
      </c>
      <c r="C132" s="15">
        <v>843000111</v>
      </c>
      <c r="D132" s="15" t="s">
        <v>151</v>
      </c>
      <c r="E132" s="15" t="s">
        <v>276</v>
      </c>
      <c r="F132" s="15">
        <v>1</v>
      </c>
      <c r="G132" s="15" t="s">
        <v>143</v>
      </c>
      <c r="H132" s="15">
        <v>10000</v>
      </c>
      <c r="I132" s="15" t="s">
        <v>154</v>
      </c>
      <c r="J132" s="15"/>
      <c r="K132" s="15" t="s">
        <v>154</v>
      </c>
      <c r="L132" s="15"/>
      <c r="M132" s="15" t="s">
        <v>157</v>
      </c>
      <c r="N132" s="15" t="s">
        <v>39</v>
      </c>
      <c r="O132" s="15" t="s">
        <v>157</v>
      </c>
      <c r="P132" s="15"/>
      <c r="Q132" s="15"/>
      <c r="R132" s="15" t="s">
        <v>180</v>
      </c>
      <c r="S132" s="17" t="s">
        <v>193</v>
      </c>
      <c r="T132" s="16">
        <f aca="true" t="shared" si="5" ref="T132:T140">+F132*H132</f>
        <v>10000</v>
      </c>
      <c r="U132" s="16"/>
      <c r="V132" s="16"/>
    </row>
    <row r="133" spans="1:22" s="14" customFormat="1" ht="13.5" customHeight="1">
      <c r="A133" s="15">
        <v>2023</v>
      </c>
      <c r="B133" s="15" t="s">
        <v>275</v>
      </c>
      <c r="C133" s="15">
        <v>733200013</v>
      </c>
      <c r="D133" s="15" t="s">
        <v>151</v>
      </c>
      <c r="E133" s="15" t="s">
        <v>277</v>
      </c>
      <c r="F133" s="15">
        <v>1</v>
      </c>
      <c r="G133" s="15" t="s">
        <v>143</v>
      </c>
      <c r="H133" s="15">
        <f>15000-5000</f>
        <v>10000</v>
      </c>
      <c r="I133" s="15"/>
      <c r="J133" s="15" t="s">
        <v>154</v>
      </c>
      <c r="K133" s="15" t="s">
        <v>154</v>
      </c>
      <c r="L133" s="15"/>
      <c r="M133" s="15" t="s">
        <v>157</v>
      </c>
      <c r="N133" s="15" t="s">
        <v>39</v>
      </c>
      <c r="O133" s="15" t="s">
        <v>157</v>
      </c>
      <c r="P133" s="15"/>
      <c r="Q133" s="15"/>
      <c r="R133" s="15" t="s">
        <v>180</v>
      </c>
      <c r="S133" s="17" t="s">
        <v>193</v>
      </c>
      <c r="T133" s="16">
        <f t="shared" si="5"/>
        <v>10000</v>
      </c>
      <c r="U133" s="16"/>
      <c r="V133" s="16"/>
    </row>
    <row r="134" spans="1:22" s="14" customFormat="1" ht="13.5" customHeight="1">
      <c r="A134" s="15">
        <v>2023</v>
      </c>
      <c r="B134" s="15" t="s">
        <v>275</v>
      </c>
      <c r="C134" s="15">
        <v>838120314</v>
      </c>
      <c r="D134" s="15" t="s">
        <v>151</v>
      </c>
      <c r="E134" s="15" t="s">
        <v>278</v>
      </c>
      <c r="F134" s="15">
        <v>1</v>
      </c>
      <c r="G134" s="15" t="s">
        <v>143</v>
      </c>
      <c r="H134" s="15">
        <f>10000-3700</f>
        <v>6300</v>
      </c>
      <c r="I134" s="29"/>
      <c r="J134" s="29"/>
      <c r="K134" s="29" t="s">
        <v>154</v>
      </c>
      <c r="L134" s="15"/>
      <c r="M134" s="15" t="s">
        <v>157</v>
      </c>
      <c r="N134" s="15" t="s">
        <v>39</v>
      </c>
      <c r="O134" s="15" t="s">
        <v>157</v>
      </c>
      <c r="P134" s="15"/>
      <c r="Q134" s="15"/>
      <c r="R134" s="15" t="s">
        <v>180</v>
      </c>
      <c r="S134" s="17" t="s">
        <v>193</v>
      </c>
      <c r="T134" s="16">
        <f t="shared" si="5"/>
        <v>6300</v>
      </c>
      <c r="U134" s="16"/>
      <c r="V134" s="16"/>
    </row>
    <row r="135" spans="1:22" s="14" customFormat="1" ht="15.75" customHeight="1">
      <c r="A135" s="15">
        <v>2023</v>
      </c>
      <c r="B135" s="15" t="s">
        <v>275</v>
      </c>
      <c r="C135" s="15">
        <v>836390014</v>
      </c>
      <c r="D135" s="15" t="s">
        <v>151</v>
      </c>
      <c r="E135" s="15" t="s">
        <v>279</v>
      </c>
      <c r="F135" s="15">
        <v>1</v>
      </c>
      <c r="G135" s="15" t="s">
        <v>143</v>
      </c>
      <c r="H135" s="15">
        <f>7000-7000</f>
        <v>0</v>
      </c>
      <c r="I135" s="15" t="s">
        <v>154</v>
      </c>
      <c r="J135" s="15"/>
      <c r="K135" s="15"/>
      <c r="L135" s="15"/>
      <c r="M135" s="15" t="s">
        <v>157</v>
      </c>
      <c r="N135" s="15" t="s">
        <v>39</v>
      </c>
      <c r="O135" s="15" t="s">
        <v>157</v>
      </c>
      <c r="P135" s="15"/>
      <c r="Q135" s="15"/>
      <c r="R135" s="15" t="s">
        <v>180</v>
      </c>
      <c r="S135" s="17" t="s">
        <v>193</v>
      </c>
      <c r="T135" s="16">
        <f t="shared" si="5"/>
        <v>0</v>
      </c>
      <c r="U135" s="16"/>
      <c r="V135" s="16"/>
    </row>
    <row r="136" spans="1:22" s="14" customFormat="1" ht="13.5" customHeight="1">
      <c r="A136" s="15">
        <v>2023</v>
      </c>
      <c r="B136" s="15" t="s">
        <v>275</v>
      </c>
      <c r="C136" s="15">
        <v>8369003110</v>
      </c>
      <c r="D136" s="15" t="s">
        <v>151</v>
      </c>
      <c r="E136" s="15" t="s">
        <v>280</v>
      </c>
      <c r="F136" s="15">
        <v>1</v>
      </c>
      <c r="G136" s="15" t="s">
        <v>143</v>
      </c>
      <c r="H136" s="15">
        <f>20353.95-20353.95</f>
        <v>0</v>
      </c>
      <c r="I136" s="15" t="s">
        <v>154</v>
      </c>
      <c r="J136" s="15"/>
      <c r="K136" s="15"/>
      <c r="L136" s="15"/>
      <c r="M136" s="15" t="s">
        <v>157</v>
      </c>
      <c r="N136" s="15" t="s">
        <v>39</v>
      </c>
      <c r="O136" s="15" t="s">
        <v>157</v>
      </c>
      <c r="P136" s="15"/>
      <c r="Q136" s="15"/>
      <c r="R136" s="15" t="s">
        <v>180</v>
      </c>
      <c r="S136" s="17" t="s">
        <v>193</v>
      </c>
      <c r="T136" s="16">
        <f t="shared" si="5"/>
        <v>0</v>
      </c>
      <c r="U136" s="16"/>
      <c r="V136" s="16"/>
    </row>
    <row r="137" spans="1:22" s="14" customFormat="1" ht="13.5" customHeight="1">
      <c r="A137" s="15">
        <v>2023</v>
      </c>
      <c r="B137" s="15" t="s">
        <v>275</v>
      </c>
      <c r="C137" s="15">
        <v>836390012</v>
      </c>
      <c r="D137" s="15" t="s">
        <v>151</v>
      </c>
      <c r="E137" s="15" t="s">
        <v>308</v>
      </c>
      <c r="F137" s="15">
        <v>1</v>
      </c>
      <c r="G137" s="15" t="s">
        <v>143</v>
      </c>
      <c r="H137" s="15">
        <f>20000-13700</f>
        <v>6300</v>
      </c>
      <c r="I137" s="15"/>
      <c r="J137" s="15"/>
      <c r="K137" s="15" t="s">
        <v>154</v>
      </c>
      <c r="L137" s="15"/>
      <c r="M137" s="15" t="s">
        <v>157</v>
      </c>
      <c r="N137" s="15" t="s">
        <v>39</v>
      </c>
      <c r="O137" s="15" t="s">
        <v>157</v>
      </c>
      <c r="P137" s="15"/>
      <c r="Q137" s="15"/>
      <c r="R137" s="15" t="s">
        <v>180</v>
      </c>
      <c r="S137" s="17" t="s">
        <v>193</v>
      </c>
      <c r="T137" s="16">
        <f t="shared" si="5"/>
        <v>6300</v>
      </c>
      <c r="U137" s="16"/>
      <c r="V137" s="16"/>
    </row>
    <row r="138" spans="1:22" s="14" customFormat="1" ht="13.5" customHeight="1">
      <c r="A138" s="15">
        <v>2023</v>
      </c>
      <c r="B138" s="15" t="s">
        <v>283</v>
      </c>
      <c r="C138" s="15">
        <v>325300019</v>
      </c>
      <c r="D138" s="15" t="s">
        <v>185</v>
      </c>
      <c r="E138" s="15" t="s">
        <v>281</v>
      </c>
      <c r="F138" s="15">
        <v>1</v>
      </c>
      <c r="G138" s="15" t="s">
        <v>143</v>
      </c>
      <c r="H138" s="15">
        <f>10000-3700</f>
        <v>6300</v>
      </c>
      <c r="I138" s="15"/>
      <c r="J138" s="15"/>
      <c r="K138" s="15" t="s">
        <v>154</v>
      </c>
      <c r="L138" s="15" t="s">
        <v>155</v>
      </c>
      <c r="M138" s="15" t="s">
        <v>157</v>
      </c>
      <c r="N138" s="15" t="s">
        <v>65</v>
      </c>
      <c r="O138" s="15" t="s">
        <v>157</v>
      </c>
      <c r="P138" s="15"/>
      <c r="Q138" s="15"/>
      <c r="R138" s="15" t="s">
        <v>156</v>
      </c>
      <c r="S138" s="17" t="s">
        <v>193</v>
      </c>
      <c r="T138" s="16">
        <f t="shared" si="5"/>
        <v>6300</v>
      </c>
      <c r="U138" s="16">
        <v>4410</v>
      </c>
      <c r="V138" s="16">
        <f>T138-U138</f>
        <v>1890</v>
      </c>
    </row>
    <row r="139" spans="1:22" s="14" customFormat="1" ht="13.5" customHeight="1">
      <c r="A139" s="15">
        <v>2023</v>
      </c>
      <c r="B139" s="15" t="s">
        <v>200</v>
      </c>
      <c r="C139" s="15">
        <v>731250115</v>
      </c>
      <c r="D139" s="15" t="s">
        <v>185</v>
      </c>
      <c r="E139" s="15" t="s">
        <v>346</v>
      </c>
      <c r="F139" s="15">
        <v>1</v>
      </c>
      <c r="G139" s="15" t="s">
        <v>143</v>
      </c>
      <c r="H139" s="15">
        <v>6300</v>
      </c>
      <c r="I139" s="15"/>
      <c r="J139" s="15" t="s">
        <v>154</v>
      </c>
      <c r="K139" s="15" t="s">
        <v>154</v>
      </c>
      <c r="L139" s="15" t="s">
        <v>155</v>
      </c>
      <c r="M139" s="15" t="s">
        <v>157</v>
      </c>
      <c r="N139" s="15" t="s">
        <v>65</v>
      </c>
      <c r="O139" s="15" t="s">
        <v>157</v>
      </c>
      <c r="P139" s="15"/>
      <c r="Q139" s="15"/>
      <c r="R139" s="15" t="s">
        <v>156</v>
      </c>
      <c r="S139" s="17" t="s">
        <v>193</v>
      </c>
      <c r="T139" s="16">
        <f t="shared" si="5"/>
        <v>6300</v>
      </c>
      <c r="U139" s="16"/>
      <c r="V139" s="16"/>
    </row>
    <row r="140" spans="1:22" s="14" customFormat="1" ht="13.5" customHeight="1">
      <c r="A140" s="15">
        <v>2023</v>
      </c>
      <c r="B140" s="15" t="s">
        <v>200</v>
      </c>
      <c r="C140" s="15">
        <v>451700428</v>
      </c>
      <c r="D140" s="15" t="s">
        <v>185</v>
      </c>
      <c r="E140" s="15" t="s">
        <v>282</v>
      </c>
      <c r="F140" s="15">
        <v>1</v>
      </c>
      <c r="G140" s="15" t="s">
        <v>143</v>
      </c>
      <c r="H140" s="15">
        <f>2000-2000</f>
        <v>0</v>
      </c>
      <c r="I140" s="15" t="s">
        <v>154</v>
      </c>
      <c r="J140" s="15"/>
      <c r="K140" s="15"/>
      <c r="L140" s="15" t="s">
        <v>155</v>
      </c>
      <c r="M140" s="15" t="s">
        <v>157</v>
      </c>
      <c r="N140" s="15" t="s">
        <v>65</v>
      </c>
      <c r="O140" s="15" t="s">
        <v>157</v>
      </c>
      <c r="P140" s="15"/>
      <c r="Q140" s="15"/>
      <c r="R140" s="15" t="s">
        <v>156</v>
      </c>
      <c r="S140" s="17" t="s">
        <v>193</v>
      </c>
      <c r="T140" s="16">
        <f t="shared" si="5"/>
        <v>0</v>
      </c>
      <c r="U140" s="16"/>
      <c r="V140" s="16"/>
    </row>
    <row r="141" spans="1:22" s="14" customFormat="1" ht="13.5" customHeight="1">
      <c r="A141" s="15">
        <v>2023</v>
      </c>
      <c r="B141" s="15" t="s">
        <v>200</v>
      </c>
      <c r="C141" s="15">
        <v>731250115</v>
      </c>
      <c r="D141" s="15" t="s">
        <v>185</v>
      </c>
      <c r="E141" s="15" t="s">
        <v>309</v>
      </c>
      <c r="F141" s="15">
        <v>1</v>
      </c>
      <c r="G141" s="15" t="s">
        <v>143</v>
      </c>
      <c r="H141" s="15">
        <f>1300-1300</f>
        <v>0</v>
      </c>
      <c r="I141" s="15" t="s">
        <v>154</v>
      </c>
      <c r="J141" s="15"/>
      <c r="K141" s="15"/>
      <c r="L141" s="15" t="s">
        <v>155</v>
      </c>
      <c r="M141" s="15" t="s">
        <v>157</v>
      </c>
      <c r="N141" s="15" t="s">
        <v>65</v>
      </c>
      <c r="O141" s="15" t="s">
        <v>157</v>
      </c>
      <c r="P141" s="15"/>
      <c r="Q141" s="15"/>
      <c r="R141" s="15" t="s">
        <v>156</v>
      </c>
      <c r="S141" s="17" t="s">
        <v>193</v>
      </c>
      <c r="T141" s="16">
        <f>+F141*H141</f>
        <v>0</v>
      </c>
      <c r="U141" s="16"/>
      <c r="V141" s="16"/>
    </row>
    <row r="142" spans="1:22" s="14" customFormat="1" ht="13.5" customHeight="1">
      <c r="A142" s="34" t="s">
        <v>304</v>
      </c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43"/>
      <c r="T142" s="44">
        <f>SUM(T143:T146)</f>
        <v>32600</v>
      </c>
      <c r="U142" s="44"/>
      <c r="V142" s="44"/>
    </row>
    <row r="143" spans="1:22" s="14" customFormat="1" ht="13.5" customHeight="1">
      <c r="A143" s="15">
        <v>2023</v>
      </c>
      <c r="B143" s="11" t="s">
        <v>275</v>
      </c>
      <c r="C143" s="11">
        <v>8369003110</v>
      </c>
      <c r="D143" s="11" t="s">
        <v>151</v>
      </c>
      <c r="E143" s="11" t="s">
        <v>285</v>
      </c>
      <c r="F143" s="11">
        <v>1</v>
      </c>
      <c r="G143" s="11" t="s">
        <v>143</v>
      </c>
      <c r="H143" s="11">
        <f>20000-20000</f>
        <v>0</v>
      </c>
      <c r="I143" s="11"/>
      <c r="J143" s="11" t="s">
        <v>154</v>
      </c>
      <c r="K143" s="11"/>
      <c r="L143" s="11" t="s">
        <v>155</v>
      </c>
      <c r="M143" s="11" t="s">
        <v>157</v>
      </c>
      <c r="N143" s="11" t="s">
        <v>85</v>
      </c>
      <c r="O143" s="11" t="s">
        <v>157</v>
      </c>
      <c r="P143" s="11"/>
      <c r="Q143" s="11"/>
      <c r="R143" s="11" t="s">
        <v>156</v>
      </c>
      <c r="S143" s="11" t="s">
        <v>193</v>
      </c>
      <c r="T143" s="13">
        <f>+F143*H143</f>
        <v>0</v>
      </c>
      <c r="U143" s="13"/>
      <c r="V143" s="13"/>
    </row>
    <row r="144" spans="1:22" s="14" customFormat="1" ht="13.5" customHeight="1">
      <c r="A144" s="15">
        <v>2023</v>
      </c>
      <c r="B144" s="11" t="s">
        <v>283</v>
      </c>
      <c r="C144" s="11">
        <v>325300019</v>
      </c>
      <c r="D144" s="11" t="s">
        <v>185</v>
      </c>
      <c r="E144" s="11" t="s">
        <v>284</v>
      </c>
      <c r="F144" s="11">
        <v>1</v>
      </c>
      <c r="G144" s="11" t="s">
        <v>143</v>
      </c>
      <c r="H144" s="11">
        <f>10000+10000</f>
        <v>20000</v>
      </c>
      <c r="I144" s="11"/>
      <c r="J144" s="11" t="s">
        <v>154</v>
      </c>
      <c r="K144" s="11" t="s">
        <v>154</v>
      </c>
      <c r="L144" s="11" t="s">
        <v>155</v>
      </c>
      <c r="M144" s="11" t="s">
        <v>157</v>
      </c>
      <c r="N144" s="11" t="s">
        <v>85</v>
      </c>
      <c r="O144" s="11" t="s">
        <v>157</v>
      </c>
      <c r="P144" s="11"/>
      <c r="Q144" s="11"/>
      <c r="R144" s="11" t="s">
        <v>156</v>
      </c>
      <c r="S144" s="12" t="s">
        <v>193</v>
      </c>
      <c r="T144" s="13">
        <f>+F144*H144</f>
        <v>20000</v>
      </c>
      <c r="U144" s="13">
        <v>20000</v>
      </c>
      <c r="V144" s="13">
        <f>T144-U144</f>
        <v>0</v>
      </c>
    </row>
    <row r="145" spans="1:22" s="14" customFormat="1" ht="13.5" customHeight="1">
      <c r="A145" s="15">
        <v>2023</v>
      </c>
      <c r="B145" s="11" t="s">
        <v>202</v>
      </c>
      <c r="C145" s="11">
        <v>369900026</v>
      </c>
      <c r="D145" s="11" t="s">
        <v>185</v>
      </c>
      <c r="E145" s="11" t="s">
        <v>347</v>
      </c>
      <c r="F145" s="11">
        <v>1</v>
      </c>
      <c r="G145" s="11" t="s">
        <v>143</v>
      </c>
      <c r="H145" s="11">
        <v>6300</v>
      </c>
      <c r="I145" s="11"/>
      <c r="J145" s="11" t="s">
        <v>154</v>
      </c>
      <c r="K145" s="11" t="s">
        <v>154</v>
      </c>
      <c r="L145" s="11" t="s">
        <v>155</v>
      </c>
      <c r="M145" s="11" t="s">
        <v>157</v>
      </c>
      <c r="N145" s="11" t="s">
        <v>65</v>
      </c>
      <c r="O145" s="11" t="s">
        <v>157</v>
      </c>
      <c r="P145" s="11"/>
      <c r="Q145" s="11"/>
      <c r="R145" s="11" t="s">
        <v>156</v>
      </c>
      <c r="S145" s="12" t="s">
        <v>193</v>
      </c>
      <c r="T145" s="13">
        <f>+F145*H145</f>
        <v>6300</v>
      </c>
      <c r="U145" s="13">
        <v>5115</v>
      </c>
      <c r="V145" s="13">
        <f>T145-U145</f>
        <v>1185</v>
      </c>
    </row>
    <row r="146" spans="1:22" s="14" customFormat="1" ht="13.5" customHeight="1">
      <c r="A146" s="15">
        <v>2023</v>
      </c>
      <c r="B146" s="11" t="s">
        <v>200</v>
      </c>
      <c r="C146" s="11">
        <v>2716001138</v>
      </c>
      <c r="D146" s="11" t="s">
        <v>185</v>
      </c>
      <c r="E146" s="11" t="s">
        <v>348</v>
      </c>
      <c r="F146" s="11">
        <v>1</v>
      </c>
      <c r="G146" s="11" t="s">
        <v>143</v>
      </c>
      <c r="H146" s="11">
        <v>6300</v>
      </c>
      <c r="I146" s="11"/>
      <c r="J146" s="11"/>
      <c r="K146" s="11" t="s">
        <v>154</v>
      </c>
      <c r="L146" s="11" t="s">
        <v>155</v>
      </c>
      <c r="M146" s="11" t="s">
        <v>157</v>
      </c>
      <c r="N146" s="11" t="s">
        <v>65</v>
      </c>
      <c r="O146" s="11" t="s">
        <v>157</v>
      </c>
      <c r="P146" s="11"/>
      <c r="Q146" s="11"/>
      <c r="R146" s="11" t="s">
        <v>156</v>
      </c>
      <c r="S146" s="12" t="s">
        <v>193</v>
      </c>
      <c r="T146" s="13">
        <f>+F146*H146</f>
        <v>6300</v>
      </c>
      <c r="U146" s="13">
        <v>3885</v>
      </c>
      <c r="V146" s="13">
        <f>T146-U146</f>
        <v>2415</v>
      </c>
    </row>
    <row r="147" spans="1:22" s="14" customFormat="1" ht="13.5" customHeight="1">
      <c r="A147" s="34" t="s">
        <v>349</v>
      </c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45">
        <f>SUM(T148:T148)</f>
        <v>6300</v>
      </c>
      <c r="U147" s="46"/>
      <c r="V147" s="47"/>
    </row>
    <row r="148" spans="1:22" s="14" customFormat="1" ht="13.5" customHeight="1">
      <c r="A148" s="15">
        <v>2023</v>
      </c>
      <c r="B148" s="11" t="s">
        <v>283</v>
      </c>
      <c r="C148" s="11">
        <v>325300019</v>
      </c>
      <c r="D148" s="11" t="s">
        <v>185</v>
      </c>
      <c r="E148" s="11" t="s">
        <v>350</v>
      </c>
      <c r="F148" s="11">
        <v>1</v>
      </c>
      <c r="G148" s="11" t="s">
        <v>143</v>
      </c>
      <c r="H148" s="11">
        <v>6300</v>
      </c>
      <c r="I148" s="11"/>
      <c r="J148" s="11"/>
      <c r="K148" s="11" t="s">
        <v>154</v>
      </c>
      <c r="L148" s="11" t="s">
        <v>155</v>
      </c>
      <c r="M148" s="11" t="s">
        <v>157</v>
      </c>
      <c r="N148" s="11" t="s">
        <v>65</v>
      </c>
      <c r="O148" s="11" t="s">
        <v>157</v>
      </c>
      <c r="P148" s="11"/>
      <c r="Q148" s="11"/>
      <c r="R148" s="11" t="s">
        <v>156</v>
      </c>
      <c r="S148" s="12" t="s">
        <v>193</v>
      </c>
      <c r="T148" s="13">
        <f>+F148*H148</f>
        <v>6300</v>
      </c>
      <c r="U148" s="13">
        <v>4600</v>
      </c>
      <c r="V148" s="13">
        <f>T148-U148</f>
        <v>1700</v>
      </c>
    </row>
    <row r="149" spans="1:22" s="14" customFormat="1" ht="13.5" customHeight="1">
      <c r="A149" s="15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3"/>
      <c r="U149" s="13"/>
      <c r="V149" s="13"/>
    </row>
    <row r="150" spans="1:22" ht="13.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8" t="s">
        <v>289</v>
      </c>
      <c r="T150" s="10">
        <f>SUM(T6+T8+T39+T60+T81+T109+T112+T131+T142+T147)</f>
        <v>2092885</v>
      </c>
      <c r="U150" s="10"/>
      <c r="V150" s="10"/>
    </row>
  </sheetData>
  <sheetProtection formatCells="0" formatColumns="0" formatRows="0" insertColumns="0" insertRows="0" insertHyperlinks="0" deleteColumns="0" deleteRows="0" sort="0" autoFilter="0" pivotTables="0"/>
  <mergeCells count="14">
    <mergeCell ref="A131:S131"/>
    <mergeCell ref="A142:S142"/>
    <mergeCell ref="A60:S60"/>
    <mergeCell ref="A39:S39"/>
    <mergeCell ref="A147:S147"/>
    <mergeCell ref="A8:S8"/>
    <mergeCell ref="A109:S109"/>
    <mergeCell ref="A112:S112"/>
    <mergeCell ref="A6:S6"/>
    <mergeCell ref="A81:S81"/>
    <mergeCell ref="A1:S1"/>
    <mergeCell ref="A2:S2"/>
    <mergeCell ref="A4:B4"/>
    <mergeCell ref="C4:T4"/>
  </mergeCells>
  <printOptions/>
  <pageMargins left="0.5118110236220472" right="0.31496062992125984" top="0.5118110236220472" bottom="0.5511811023622047" header="0.31496062992125984" footer="0.11811023622047245"/>
  <pageSetup horizontalDpi="600" verticalDpi="600" orientation="landscape" paperSize="9" scale="50" r:id="rId3"/>
  <rowBreaks count="2" manualBreakCount="2">
    <brk id="59" max="255" man="1"/>
    <brk id="104" max="255" man="1"/>
  </rowBreaks>
  <colBreaks count="1" manualBreakCount="1">
    <brk id="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5536"/>
  <sheetViews>
    <sheetView workbookViewId="0" topLeftCell="A1">
      <selection activeCell="A1" sqref="A1"/>
    </sheetView>
  </sheetViews>
  <sheetFormatPr defaultColWidth="9.140625" defaultRowHeight="15"/>
  <sheetData>
    <row r="1" spans="1:2" ht="15">
      <c r="A1" t="s">
        <v>26</v>
      </c>
      <c r="B1" t="s">
        <v>27</v>
      </c>
    </row>
    <row r="2" spans="1:2" ht="15">
      <c r="A2" t="s">
        <v>28</v>
      </c>
      <c r="B2" t="s">
        <v>29</v>
      </c>
    </row>
    <row r="3" spans="1:2" ht="15">
      <c r="A3" t="s">
        <v>30</v>
      </c>
      <c r="B3" t="s">
        <v>31</v>
      </c>
    </row>
    <row r="4" spans="1:2" ht="15">
      <c r="A4" t="s">
        <v>32</v>
      </c>
      <c r="B4" t="s">
        <v>33</v>
      </c>
    </row>
    <row r="5" spans="1:2" ht="15">
      <c r="A5" t="s">
        <v>34</v>
      </c>
      <c r="B5" t="s">
        <v>35</v>
      </c>
    </row>
    <row r="6" spans="1:2" ht="15">
      <c r="A6" t="s">
        <v>36</v>
      </c>
      <c r="B6" t="s">
        <v>37</v>
      </c>
    </row>
    <row r="7" spans="1:2" ht="15">
      <c r="A7" t="s">
        <v>38</v>
      </c>
      <c r="B7" t="s">
        <v>39</v>
      </c>
    </row>
    <row r="8" spans="1:2" ht="15">
      <c r="A8" t="s">
        <v>40</v>
      </c>
      <c r="B8" t="s">
        <v>41</v>
      </c>
    </row>
    <row r="9" spans="1:2" ht="15">
      <c r="A9" t="s">
        <v>42</v>
      </c>
      <c r="B9" t="s">
        <v>43</v>
      </c>
    </row>
    <row r="10" spans="1:2" ht="15">
      <c r="A10" t="s">
        <v>44</v>
      </c>
      <c r="B10" t="s">
        <v>45</v>
      </c>
    </row>
    <row r="11" spans="1:2" ht="15">
      <c r="A11" t="s">
        <v>46</v>
      </c>
      <c r="B11" t="s">
        <v>47</v>
      </c>
    </row>
    <row r="12" spans="1:2" ht="15">
      <c r="A12" t="s">
        <v>48</v>
      </c>
      <c r="B12" t="s">
        <v>49</v>
      </c>
    </row>
    <row r="13" spans="1:2" ht="15">
      <c r="A13" t="s">
        <v>50</v>
      </c>
      <c r="B13" t="s">
        <v>51</v>
      </c>
    </row>
    <row r="14" spans="1:2" ht="15">
      <c r="A14" t="s">
        <v>52</v>
      </c>
      <c r="B14" t="s">
        <v>53</v>
      </c>
    </row>
    <row r="15" spans="1:2" ht="15">
      <c r="A15" t="s">
        <v>54</v>
      </c>
      <c r="B15" t="s">
        <v>55</v>
      </c>
    </row>
    <row r="16" spans="1:2" ht="15">
      <c r="A16" t="s">
        <v>56</v>
      </c>
      <c r="B16" t="s">
        <v>57</v>
      </c>
    </row>
    <row r="17" spans="1:2" ht="15">
      <c r="A17" t="s">
        <v>58</v>
      </c>
      <c r="B17" t="s">
        <v>59</v>
      </c>
    </row>
    <row r="18" spans="1:2" ht="15">
      <c r="A18" t="s">
        <v>60</v>
      </c>
      <c r="B18" t="s">
        <v>61</v>
      </c>
    </row>
    <row r="19" spans="1:2" ht="15">
      <c r="A19" t="s">
        <v>62</v>
      </c>
      <c r="B19" t="s">
        <v>63</v>
      </c>
    </row>
    <row r="20" spans="1:2" ht="15">
      <c r="A20" t="s">
        <v>64</v>
      </c>
      <c r="B20" t="s">
        <v>65</v>
      </c>
    </row>
    <row r="21" spans="1:2" ht="15">
      <c r="A21" t="s">
        <v>66</v>
      </c>
      <c r="B21" t="s">
        <v>67</v>
      </c>
    </row>
    <row r="22" spans="1:2" ht="15">
      <c r="A22" t="s">
        <v>68</v>
      </c>
      <c r="B22" t="s">
        <v>69</v>
      </c>
    </row>
    <row r="23" spans="1:2" ht="15">
      <c r="A23" t="s">
        <v>70</v>
      </c>
      <c r="B23" t="s">
        <v>71</v>
      </c>
    </row>
    <row r="24" spans="1:2" ht="15">
      <c r="A24" t="s">
        <v>72</v>
      </c>
      <c r="B24" t="s">
        <v>73</v>
      </c>
    </row>
    <row r="25" spans="1:2" ht="15">
      <c r="A25" t="s">
        <v>74</v>
      </c>
      <c r="B25" t="s">
        <v>75</v>
      </c>
    </row>
    <row r="26" spans="1:2" ht="15">
      <c r="A26" t="s">
        <v>76</v>
      </c>
      <c r="B26" t="s">
        <v>77</v>
      </c>
    </row>
    <row r="27" spans="1:2" ht="15">
      <c r="A27" t="s">
        <v>78</v>
      </c>
      <c r="B27" t="s">
        <v>79</v>
      </c>
    </row>
    <row r="28" spans="1:2" ht="15">
      <c r="A28" t="s">
        <v>80</v>
      </c>
      <c r="B28" t="s">
        <v>81</v>
      </c>
    </row>
    <row r="29" spans="1:2" ht="15">
      <c r="A29" t="s">
        <v>82</v>
      </c>
      <c r="B29" t="s">
        <v>83</v>
      </c>
    </row>
    <row r="30" spans="1:2" ht="15">
      <c r="A30" t="s">
        <v>84</v>
      </c>
      <c r="B30" t="s">
        <v>85</v>
      </c>
    </row>
    <row r="31" spans="1:2" ht="15">
      <c r="A31" t="s">
        <v>86</v>
      </c>
      <c r="B31" t="s">
        <v>87</v>
      </c>
    </row>
    <row r="32" ht="15">
      <c r="A32" t="s">
        <v>88</v>
      </c>
    </row>
    <row r="33" ht="15">
      <c r="A33" t="s">
        <v>89</v>
      </c>
    </row>
    <row r="34" ht="15">
      <c r="A34" t="s">
        <v>90</v>
      </c>
    </row>
    <row r="35" ht="15">
      <c r="A35" t="s">
        <v>91</v>
      </c>
    </row>
    <row r="36" ht="15">
      <c r="A36" t="s">
        <v>92</v>
      </c>
    </row>
    <row r="37" ht="15">
      <c r="A37" t="s">
        <v>93</v>
      </c>
    </row>
    <row r="38" ht="15">
      <c r="A38" t="s">
        <v>94</v>
      </c>
    </row>
    <row r="39" ht="15">
      <c r="A39" t="s">
        <v>95</v>
      </c>
    </row>
    <row r="40" ht="15">
      <c r="A40" t="s">
        <v>96</v>
      </c>
    </row>
    <row r="41" ht="15">
      <c r="A41" t="s">
        <v>97</v>
      </c>
    </row>
    <row r="42" ht="15">
      <c r="A42" t="s">
        <v>98</v>
      </c>
    </row>
    <row r="43" ht="15">
      <c r="A43" t="s">
        <v>99</v>
      </c>
    </row>
    <row r="44" ht="15">
      <c r="A44" t="s">
        <v>100</v>
      </c>
    </row>
    <row r="45" ht="15">
      <c r="A45" t="s">
        <v>101</v>
      </c>
    </row>
    <row r="46" ht="15">
      <c r="A46" t="s">
        <v>102</v>
      </c>
    </row>
    <row r="47" ht="15">
      <c r="A47" t="s">
        <v>103</v>
      </c>
    </row>
    <row r="48" ht="15">
      <c r="A48" t="s">
        <v>104</v>
      </c>
    </row>
    <row r="49" ht="15">
      <c r="A49" t="s">
        <v>105</v>
      </c>
    </row>
    <row r="50" ht="15">
      <c r="A50" t="s">
        <v>106</v>
      </c>
    </row>
    <row r="51" ht="15">
      <c r="A51" t="s">
        <v>107</v>
      </c>
    </row>
    <row r="52" ht="15">
      <c r="A52" t="s">
        <v>108</v>
      </c>
    </row>
    <row r="53" ht="15">
      <c r="A53" t="s">
        <v>109</v>
      </c>
    </row>
    <row r="54" ht="15">
      <c r="A54" t="s">
        <v>110</v>
      </c>
    </row>
    <row r="55" ht="15">
      <c r="A55" t="s">
        <v>111</v>
      </c>
    </row>
    <row r="56" ht="15">
      <c r="A56" t="s">
        <v>112</v>
      </c>
    </row>
    <row r="57" ht="15">
      <c r="A57" t="s">
        <v>113</v>
      </c>
    </row>
    <row r="58" ht="15">
      <c r="A58" t="s">
        <v>114</v>
      </c>
    </row>
    <row r="59" ht="15">
      <c r="A59" t="s">
        <v>115</v>
      </c>
    </row>
    <row r="60" ht="15">
      <c r="A60" t="s">
        <v>116</v>
      </c>
    </row>
    <row r="61" ht="15">
      <c r="A61" t="s">
        <v>117</v>
      </c>
    </row>
    <row r="62" ht="15">
      <c r="A62" t="s">
        <v>118</v>
      </c>
    </row>
    <row r="63" ht="15">
      <c r="A63" t="s">
        <v>119</v>
      </c>
    </row>
    <row r="64" ht="15">
      <c r="A64" t="s">
        <v>120</v>
      </c>
    </row>
    <row r="65" ht="15">
      <c r="A65" t="s">
        <v>121</v>
      </c>
    </row>
    <row r="66" ht="15">
      <c r="A66" t="s">
        <v>122</v>
      </c>
    </row>
    <row r="67" ht="15">
      <c r="A67" t="s">
        <v>123</v>
      </c>
    </row>
    <row r="68" ht="15">
      <c r="A68" t="s">
        <v>124</v>
      </c>
    </row>
    <row r="69" ht="15">
      <c r="A69" t="s">
        <v>125</v>
      </c>
    </row>
    <row r="70" ht="15">
      <c r="A70" t="s">
        <v>126</v>
      </c>
    </row>
    <row r="71" ht="15">
      <c r="A71" t="s">
        <v>127</v>
      </c>
    </row>
    <row r="72" ht="15">
      <c r="A72" t="s">
        <v>128</v>
      </c>
    </row>
    <row r="73" ht="15">
      <c r="A73" t="s">
        <v>129</v>
      </c>
    </row>
    <row r="74" ht="15">
      <c r="A74" t="s">
        <v>130</v>
      </c>
    </row>
    <row r="75" ht="15">
      <c r="A75" t="s">
        <v>131</v>
      </c>
    </row>
    <row r="76" ht="15">
      <c r="A76" t="s">
        <v>132</v>
      </c>
    </row>
    <row r="77" ht="15">
      <c r="A77" t="s">
        <v>133</v>
      </c>
    </row>
    <row r="78" ht="15">
      <c r="A78" t="s">
        <v>134</v>
      </c>
    </row>
    <row r="79" ht="15">
      <c r="A79" t="s">
        <v>135</v>
      </c>
    </row>
    <row r="80" ht="15">
      <c r="A80" t="s">
        <v>136</v>
      </c>
    </row>
    <row r="81" ht="15">
      <c r="A81" t="s">
        <v>137</v>
      </c>
    </row>
    <row r="82" ht="15">
      <c r="A82" t="s">
        <v>138</v>
      </c>
    </row>
    <row r="83" ht="15">
      <c r="A83" t="s">
        <v>139</v>
      </c>
    </row>
    <row r="84" ht="15">
      <c r="A84" t="s">
        <v>140</v>
      </c>
    </row>
    <row r="85" ht="15">
      <c r="A85" t="s">
        <v>141</v>
      </c>
    </row>
    <row r="86" ht="15">
      <c r="A86" t="s">
        <v>142</v>
      </c>
    </row>
    <row r="87" ht="15">
      <c r="A87" t="s">
        <v>143</v>
      </c>
    </row>
    <row r="88" ht="15">
      <c r="A88" t="s">
        <v>144</v>
      </c>
    </row>
    <row r="89" ht="15">
      <c r="A89" t="s">
        <v>145</v>
      </c>
    </row>
    <row r="90" ht="15">
      <c r="A90" t="s">
        <v>146</v>
      </c>
    </row>
    <row r="91" ht="15">
      <c r="A91" t="s">
        <v>147</v>
      </c>
    </row>
    <row r="92" ht="15">
      <c r="A92" t="s">
        <v>148</v>
      </c>
    </row>
    <row r="93" ht="15">
      <c r="A93" t="s">
        <v>149</v>
      </c>
    </row>
    <row r="65536" spans="1:2" ht="15">
      <c r="A65536" t="s">
        <v>24</v>
      </c>
      <c r="B65536" t="s">
        <v>25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MAYRA VILLAGOMEZ</cp:lastModifiedBy>
  <cp:lastPrinted>2023-01-11T16:18:10Z</cp:lastPrinted>
  <dcterms:created xsi:type="dcterms:W3CDTF">2022-01-05T09:05:22Z</dcterms:created>
  <dcterms:modified xsi:type="dcterms:W3CDTF">2024-01-29T15:45:08Z</dcterms:modified>
  <cp:category/>
  <cp:version/>
  <cp:contentType/>
  <cp:contentStatus/>
</cp:coreProperties>
</file>